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4156 ODOT D12-D3 GES FY2025-26\119814\Task 17 - CUY-480-16.56 Slope PID 124096\124096\400-Engineering\Roadway\EngData\Quantities\"/>
    </mc:Choice>
  </mc:AlternateContent>
  <xr:revisionPtr revIDLastSave="0" documentId="13_ncr:1_{A6012AF7-81F0-4D31-96BB-DC461188C4BF}" xr6:coauthVersionLast="47" xr6:coauthVersionMax="47" xr10:uidLastSave="{00000000-0000-0000-0000-000000000000}"/>
  <bookViews>
    <workbookView xWindow="28680" yWindow="-120" windowWidth="29040" windowHeight="15720" tabRatio="730" activeTab="2" xr2:uid="{00000000-000D-0000-FFFF-FFFF00000000}"/>
  </bookViews>
  <sheets>
    <sheet name="Final" sheetId="10" r:id="rId1"/>
    <sheet name="Stage 3" sheetId="9" r:id="rId2"/>
    <sheet name="Stage 2" sheetId="16" r:id="rId3"/>
    <sheet name="Stage 1" sheetId="11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16" l="1"/>
  <c r="E16" i="16"/>
  <c r="D5" i="16"/>
  <c r="D11" i="9"/>
  <c r="D7" i="11"/>
  <c r="D14" i="10"/>
  <c r="D13" i="10"/>
  <c r="E16" i="11"/>
  <c r="D11" i="11" l="1"/>
  <c r="C51" i="10" l="1"/>
  <c r="B51" i="10"/>
  <c r="A51" i="10"/>
  <c r="C50" i="10"/>
  <c r="B50" i="10"/>
  <c r="A50" i="10"/>
  <c r="C49" i="10"/>
  <c r="B49" i="10"/>
  <c r="A49" i="10"/>
  <c r="C48" i="10"/>
  <c r="B48" i="10"/>
  <c r="A48" i="10"/>
  <c r="C47" i="10"/>
  <c r="B47" i="10"/>
  <c r="A47" i="10"/>
  <c r="C46" i="10"/>
  <c r="B46" i="10"/>
  <c r="A46" i="10"/>
  <c r="C45" i="10"/>
  <c r="B45" i="10"/>
  <c r="A45" i="10"/>
  <c r="C44" i="10"/>
  <c r="B44" i="10"/>
  <c r="A44" i="10"/>
  <c r="C43" i="10"/>
  <c r="B43" i="10"/>
  <c r="A43" i="10"/>
  <c r="C42" i="10"/>
  <c r="B42" i="10"/>
  <c r="A42" i="10"/>
  <c r="C41" i="10"/>
  <c r="B41" i="10"/>
  <c r="A41" i="10"/>
  <c r="C40" i="10"/>
  <c r="B40" i="10"/>
  <c r="A40" i="10"/>
  <c r="C39" i="10"/>
  <c r="A39" i="10"/>
  <c r="D9" i="10"/>
  <c r="D4" i="10"/>
  <c r="D7" i="10" s="1"/>
  <c r="G43" i="10" l="1"/>
  <c r="F45" i="10" s="1"/>
  <c r="D22" i="10"/>
  <c r="D30" i="10"/>
  <c r="D6" i="10"/>
  <c r="D26" i="10"/>
  <c r="F43" i="10"/>
  <c r="D24" i="10"/>
  <c r="D28" i="10"/>
  <c r="D32" i="10"/>
  <c r="D5" i="10"/>
  <c r="D21" i="10"/>
  <c r="D25" i="10"/>
  <c r="D29" i="10"/>
  <c r="D33" i="10"/>
  <c r="D23" i="10"/>
  <c r="D27" i="10"/>
  <c r="D31" i="10"/>
  <c r="D9" i="9"/>
  <c r="C51" i="9"/>
  <c r="C50" i="9"/>
  <c r="C49" i="9"/>
  <c r="C48" i="9"/>
  <c r="C47" i="9"/>
  <c r="C46" i="9"/>
  <c r="C45" i="9"/>
  <c r="C44" i="9"/>
  <c r="C43" i="9"/>
  <c r="C42" i="9"/>
  <c r="C41" i="9"/>
  <c r="C40" i="9"/>
  <c r="C39" i="9"/>
  <c r="B51" i="9"/>
  <c r="B50" i="9"/>
  <c r="B49" i="9"/>
  <c r="B48" i="9"/>
  <c r="B47" i="9"/>
  <c r="B46" i="9"/>
  <c r="B45" i="9"/>
  <c r="B44" i="9"/>
  <c r="B43" i="9"/>
  <c r="B42" i="9"/>
  <c r="B41" i="9"/>
  <c r="B40" i="9"/>
  <c r="A51" i="9"/>
  <c r="A50" i="9"/>
  <c r="A49" i="9"/>
  <c r="A48" i="9"/>
  <c r="A47" i="9"/>
  <c r="A46" i="9"/>
  <c r="A45" i="9"/>
  <c r="A44" i="9"/>
  <c r="A43" i="9"/>
  <c r="A42" i="9"/>
  <c r="A41" i="9"/>
  <c r="A40" i="9"/>
  <c r="A39" i="9"/>
  <c r="D13" i="9" l="1"/>
  <c r="D14" i="9"/>
  <c r="G45" i="10"/>
  <c r="G44" i="10"/>
  <c r="F42" i="10"/>
  <c r="G42" i="10"/>
  <c r="F44" i="10"/>
  <c r="D27" i="9"/>
  <c r="F43" i="9"/>
  <c r="D25" i="9"/>
  <c r="G43" i="9"/>
  <c r="F42" i="9" s="1"/>
  <c r="D21" i="9"/>
  <c r="D26" i="9"/>
  <c r="D4" i="9"/>
  <c r="D11" i="10" l="1"/>
  <c r="D15" i="10" s="1"/>
  <c r="F44" i="9"/>
  <c r="G42" i="9"/>
  <c r="G45" i="9"/>
  <c r="F45" i="9"/>
  <c r="G44" i="9"/>
  <c r="D5" i="9"/>
  <c r="D6" i="9"/>
  <c r="D7" i="9"/>
  <c r="D24" i="9"/>
  <c r="D23" i="9"/>
  <c r="D28" i="9"/>
  <c r="D29" i="9"/>
  <c r="D30" i="9"/>
  <c r="D32" i="9"/>
  <c r="D22" i="9"/>
  <c r="D31" i="9"/>
  <c r="D33" i="9"/>
  <c r="D15" i="9" l="1"/>
  <c r="D9" i="11"/>
  <c r="D10" i="11"/>
  <c r="D5" i="11" l="1"/>
  <c r="D28" i="11" s="1"/>
  <c r="E2" i="11"/>
  <c r="D29" i="11"/>
  <c r="D17" i="11"/>
  <c r="E17" i="11" s="1"/>
  <c r="D37" i="11"/>
  <c r="D25" i="11"/>
  <c r="D26" i="11"/>
  <c r="D27" i="11"/>
  <c r="D31" i="11"/>
  <c r="D33" i="11"/>
  <c r="D36" i="11" l="1"/>
  <c r="D30" i="11"/>
  <c r="D34" i="11"/>
  <c r="D35" i="11"/>
  <c r="D32" i="11"/>
  <c r="D15" i="11"/>
  <c r="E15" i="11" s="1"/>
  <c r="D18" i="11"/>
  <c r="E18" i="11" s="1"/>
  <c r="E19" i="11" l="1"/>
  <c r="D7" i="16"/>
  <c r="D10" i="16" s="1"/>
  <c r="D28" i="16"/>
  <c r="D17" i="16"/>
  <c r="E17" i="16" s="1"/>
  <c r="D31" i="16"/>
  <c r="D11" i="16"/>
  <c r="D25" i="16"/>
  <c r="D18" i="16"/>
  <c r="E18" i="16" s="1"/>
  <c r="D9" i="16" l="1"/>
  <c r="E2" i="16" s="1"/>
  <c r="D27" i="16"/>
  <c r="D35" i="16"/>
  <c r="D36" i="16"/>
  <c r="D37" i="16"/>
  <c r="D32" i="16"/>
  <c r="D30" i="16"/>
  <c r="D15" i="16" s="1"/>
  <c r="D33" i="16"/>
  <c r="D29" i="16"/>
  <c r="D34" i="16"/>
  <c r="D26" i="16"/>
  <c r="E15" i="16" l="1"/>
  <c r="E19" i="16" s="1"/>
</calcChain>
</file>

<file path=xl/sharedStrings.xml><?xml version="1.0" encoding="utf-8"?>
<sst xmlns="http://schemas.openxmlformats.org/spreadsheetml/2006/main" count="169" uniqueCount="54">
  <si>
    <t>MAINTAINING TRAFFIC</t>
  </si>
  <si>
    <t>MOBILIZATION</t>
  </si>
  <si>
    <t>ITEM</t>
  </si>
  <si>
    <t>UNIT</t>
  </si>
  <si>
    <t>RATE</t>
  </si>
  <si>
    <t>QUANTITY</t>
  </si>
  <si>
    <t>LUMP</t>
  </si>
  <si>
    <t>depends on construction cost</t>
  </si>
  <si>
    <t>less than 1 million, 1% of construction costs,
1 million to 5 million, 0.75% of construction costs,
over 5 million, 0.50% of construction costs</t>
  </si>
  <si>
    <t>3% urban, 1% rural</t>
  </si>
  <si>
    <t>INCIDENTAL TOTAL</t>
  </si>
  <si>
    <t>MORE THAN</t>
  </si>
  <si>
    <t>UP TO,
INCLUSIVE</t>
  </si>
  <si>
    <t>MAXIMUM TOTAL OF PARTIAL PAYMENTS</t>
  </si>
  <si>
    <t>MONTH</t>
  </si>
  <si>
    <t>Cost from Estimator Including Incidentals</t>
  </si>
  <si>
    <t>Design Contingency</t>
  </si>
  <si>
    <t>Doesn't include inflation</t>
  </si>
  <si>
    <t>TOTAL CONSTRUCTION COST</t>
  </si>
  <si>
    <t>FIELD OFFICE, TYPE B</t>
  </si>
  <si>
    <t>Cost from Estimator of Incidentals</t>
  </si>
  <si>
    <t>For Stage 1</t>
  </si>
  <si>
    <t>For Stage 2</t>
  </si>
  <si>
    <t>For Stage 3</t>
  </si>
  <si>
    <t>Interpolation Values</t>
  </si>
  <si>
    <t>Row Number</t>
  </si>
  <si>
    <t>Lower Cons Cost</t>
  </si>
  <si>
    <t>Higher Cons Cost</t>
  </si>
  <si>
    <t>Max Mobilization</t>
  </si>
  <si>
    <t>Min Mobilization</t>
  </si>
  <si>
    <t>Rounded up to Nearest:</t>
  </si>
  <si>
    <t>From Estimator</t>
  </si>
  <si>
    <t>THESE TABLES ARE USED FOR MOBILIZATION CALCULATION. DO NOT EDIT</t>
  </si>
  <si>
    <t>QUANTITY ROUNDED</t>
  </si>
  <si>
    <t>QUANTITY CALC</t>
  </si>
  <si>
    <t>Cost of Incidentals from estimator</t>
  </si>
  <si>
    <t>Stage 2 Incidentals</t>
  </si>
  <si>
    <t>Total cost from estimator (no inflation)</t>
  </si>
  <si>
    <t>subtract incidentals</t>
  </si>
  <si>
    <t>Total not including contingency</t>
  </si>
  <si>
    <t>total cost of items excluding incidentals</t>
  </si>
  <si>
    <t>sum of all categories not including incidentals from estimator.  Can zero out incidental category to calculate.  This is the number used to calculate the incidentals</t>
  </si>
  <si>
    <t>calculated by zero-ing out contingency in estimator.  Incidentals are included in this amount since 10% contingency applies to entire construction cost, including incidentals</t>
  </si>
  <si>
    <t>this range</t>
  </si>
  <si>
    <t>5 months</t>
  </si>
  <si>
    <t>Stage 1 Incidentals</t>
  </si>
  <si>
    <t>Stage 3 Incidentals</t>
  </si>
  <si>
    <t>Final Incidentals</t>
  </si>
  <si>
    <t>calculated by zero-ing out contingency in estimator.  Incidentals are included in this amount since 20% contingency applies to entire construction cost, including incidentals</t>
  </si>
  <si>
    <t>CONSTRUCTION LAYOUT STAKES AND SURVEYING</t>
  </si>
  <si>
    <t>Doesn’t include contingency</t>
  </si>
  <si>
    <t>3 months</t>
  </si>
  <si>
    <t>RIC-314-(00.83)(01.66)</t>
  </si>
  <si>
    <t>2 months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</si>
</sst>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&quot;$&quot;#,##0"/>
  </numFmts>
  <fonts count="8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name val="Arial"/>
      <family val="2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medium">
        <color indexed="64"/>
      </right>
      <top/>
      <bottom/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2" borderId="5" applyNumberFormat="0" applyAlignment="0" applyProtection="0"/>
  </cellStyleXfs>
  <cellXfs count="7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164" fontId="0" fillId="0" borderId="0" xfId="0" applyNumberForma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0" fillId="0" borderId="4" xfId="0" applyBorder="1"/>
    <xf numFmtId="164" fontId="0" fillId="0" borderId="4" xfId="0" applyNumberFormat="1" applyBorder="1"/>
    <xf numFmtId="0" fontId="0" fillId="0" borderId="4" xfId="0" applyBorder="1" applyAlignment="1">
      <alignment wrapText="1"/>
    </xf>
    <xf numFmtId="0" fontId="2" fillId="0" borderId="4" xfId="0" applyFont="1" applyBorder="1"/>
    <xf numFmtId="0" fontId="2" fillId="0" borderId="4" xfId="0" applyFont="1" applyBorder="1" applyAlignment="1">
      <alignment wrapText="1"/>
    </xf>
    <xf numFmtId="165" fontId="0" fillId="0" borderId="4" xfId="0" applyNumberFormat="1" applyBorder="1"/>
    <xf numFmtId="16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0" fontId="0" fillId="0" borderId="0" xfId="0" applyNumberFormat="1" applyAlignment="1">
      <alignment horizontal="left"/>
    </xf>
    <xf numFmtId="11" fontId="4" fillId="0" borderId="4" xfId="0" applyNumberFormat="1" applyFont="1" applyBorder="1"/>
    <xf numFmtId="164" fontId="3" fillId="2" borderId="5" xfId="1" applyNumberFormat="1"/>
    <xf numFmtId="164" fontId="0" fillId="0" borderId="4" xfId="0" applyNumberFormat="1" applyBorder="1" applyAlignment="1">
      <alignment vertical="center"/>
    </xf>
    <xf numFmtId="3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165" fontId="3" fillId="2" borderId="9" xfId="1" applyNumberFormat="1" applyBorder="1"/>
    <xf numFmtId="11" fontId="3" fillId="2" borderId="5" xfId="1" applyNumberFormat="1"/>
    <xf numFmtId="165" fontId="3" fillId="2" borderId="5" xfId="1" applyNumberFormat="1"/>
    <xf numFmtId="0" fontId="0" fillId="0" borderId="10" xfId="0" applyBorder="1" applyAlignment="1">
      <alignment horizontal="center"/>
    </xf>
    <xf numFmtId="0" fontId="3" fillId="2" borderId="5" xfId="1" applyAlignment="1">
      <alignment horizontal="center"/>
    </xf>
    <xf numFmtId="0" fontId="3" fillId="2" borderId="11" xfId="1" applyBorder="1" applyAlignment="1">
      <alignment horizontal="center"/>
    </xf>
    <xf numFmtId="165" fontId="3" fillId="2" borderId="5" xfId="1" applyNumberFormat="1" applyAlignment="1">
      <alignment horizontal="center"/>
    </xf>
    <xf numFmtId="1" fontId="3" fillId="2" borderId="11" xfId="1" applyNumberFormat="1" applyBorder="1" applyAlignment="1">
      <alignment horizontal="center"/>
    </xf>
    <xf numFmtId="0" fontId="0" fillId="0" borderId="10" xfId="0" applyBorder="1"/>
    <xf numFmtId="0" fontId="3" fillId="2" borderId="12" xfId="1" applyBorder="1"/>
    <xf numFmtId="0" fontId="3" fillId="2" borderId="13" xfId="1" applyBorder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164" fontId="5" fillId="0" borderId="0" xfId="0" applyNumberFormat="1" applyFont="1" applyAlignment="1">
      <alignment horizontal="center"/>
    </xf>
    <xf numFmtId="0" fontId="6" fillId="0" borderId="0" xfId="0" applyFont="1"/>
    <xf numFmtId="10" fontId="5" fillId="0" borderId="0" xfId="0" applyNumberFormat="1" applyFont="1" applyAlignment="1">
      <alignment horizontal="left"/>
    </xf>
    <xf numFmtId="164" fontId="5" fillId="0" borderId="0" xfId="0" applyNumberFormat="1" applyFont="1"/>
    <xf numFmtId="0" fontId="6" fillId="0" borderId="1" xfId="0" applyFont="1" applyBorder="1"/>
    <xf numFmtId="0" fontId="6" fillId="0" borderId="2" xfId="0" applyFont="1" applyBorder="1"/>
    <xf numFmtId="0" fontId="6" fillId="0" borderId="16" xfId="0" applyFont="1" applyBorder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64" fontId="5" fillId="0" borderId="17" xfId="0" applyNumberFormat="1" applyFont="1" applyBorder="1"/>
    <xf numFmtId="0" fontId="5" fillId="0" borderId="4" xfId="0" applyFont="1" applyBorder="1" applyAlignment="1">
      <alignment wrapText="1"/>
    </xf>
    <xf numFmtId="0" fontId="6" fillId="0" borderId="4" xfId="0" applyFont="1" applyBorder="1"/>
    <xf numFmtId="0" fontId="6" fillId="0" borderId="4" xfId="0" applyFont="1" applyBorder="1" applyAlignment="1">
      <alignment wrapText="1"/>
    </xf>
    <xf numFmtId="165" fontId="5" fillId="0" borderId="4" xfId="0" applyNumberFormat="1" applyFont="1" applyBorder="1"/>
    <xf numFmtId="164" fontId="5" fillId="3" borderId="0" xfId="0" applyNumberFormat="1" applyFont="1" applyFill="1" applyAlignment="1">
      <alignment horizontal="center"/>
    </xf>
    <xf numFmtId="10" fontId="0" fillId="3" borderId="0" xfId="0" applyNumberFormat="1" applyFill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0" applyFont="1"/>
    <xf numFmtId="164" fontId="5" fillId="0" borderId="0" xfId="0" applyNumberFormat="1" applyFont="1" applyAlignment="1">
      <alignment horizontal="left"/>
    </xf>
    <xf numFmtId="164" fontId="5" fillId="0" borderId="4" xfId="0" applyNumberFormat="1" applyFont="1" applyBorder="1"/>
    <xf numFmtId="0" fontId="7" fillId="0" borderId="4" xfId="0" applyFont="1" applyBorder="1" applyAlignment="1">
      <alignment horizontal="center"/>
    </xf>
    <xf numFmtId="4" fontId="5" fillId="0" borderId="0" xfId="0" applyNumberFormat="1" applyFont="1" applyAlignment="1">
      <alignment horizontal="center"/>
    </xf>
    <xf numFmtId="4" fontId="5" fillId="0" borderId="0" xfId="0" applyNumberFormat="1" applyFont="1"/>
    <xf numFmtId="0" fontId="2" fillId="0" borderId="4" xfId="0" applyFont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3" fillId="2" borderId="5" xfId="1" applyAlignment="1">
      <alignment horizontal="center"/>
    </xf>
    <xf numFmtId="0" fontId="3" fillId="2" borderId="11" xfId="1" applyBorder="1" applyAlignment="1">
      <alignment horizontal="center"/>
    </xf>
    <xf numFmtId="0" fontId="0" fillId="0" borderId="0" xfId="0" applyAlignment="1">
      <alignment horizontal="left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</cellXfs>
  <cellStyles count="2">
    <cellStyle name="Calculation" xfId="1" builtinId="2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47629</xdr:colOff>
      <xdr:row>10</xdr:row>
      <xdr:rowOff>104775</xdr:rowOff>
    </xdr:from>
    <xdr:to>
      <xdr:col>5</xdr:col>
      <xdr:colOff>0</xdr:colOff>
      <xdr:row>10</xdr:row>
      <xdr:rowOff>104775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894D35EE-5A5A-4913-978D-615584C89230}"/>
            </a:ext>
          </a:extLst>
        </xdr:cNvPr>
        <xdr:cNvCxnSpPr/>
      </xdr:nvCxnSpPr>
      <xdr:spPr>
        <a:xfrm flipH="1">
          <a:off x="8286754" y="2019300"/>
          <a:ext cx="1181096" cy="0"/>
        </a:xfrm>
        <a:prstGeom prst="straightConnector1">
          <a:avLst/>
        </a:prstGeom>
        <a:ln>
          <a:headEnd type="arrow"/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47629</xdr:colOff>
      <xdr:row>10</xdr:row>
      <xdr:rowOff>104775</xdr:rowOff>
    </xdr:from>
    <xdr:to>
      <xdr:col>5</xdr:col>
      <xdr:colOff>0</xdr:colOff>
      <xdr:row>10</xdr:row>
      <xdr:rowOff>104775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H="1">
          <a:off x="8286754" y="2019300"/>
          <a:ext cx="876296" cy="0"/>
        </a:xfrm>
        <a:prstGeom prst="straightConnector1">
          <a:avLst/>
        </a:prstGeom>
        <a:ln>
          <a:headEnd type="arrow"/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2"/>
  <sheetViews>
    <sheetView workbookViewId="0">
      <selection activeCell="A2" sqref="A2"/>
    </sheetView>
  </sheetViews>
  <sheetFormatPr defaultRowHeight="15" x14ac:dyDescent="0.25"/>
  <cols>
    <col min="1" max="1" width="44.85546875" bestFit="1" customWidth="1"/>
    <col min="2" max="2" width="24" customWidth="1"/>
    <col min="3" max="3" width="40.28515625" bestFit="1" customWidth="1"/>
    <col min="4" max="4" width="14.42578125" style="1" bestFit="1" customWidth="1"/>
    <col min="5" max="5" width="18.42578125" style="1" customWidth="1"/>
    <col min="6" max="6" width="15" style="1" customWidth="1"/>
    <col min="7" max="7" width="12.42578125" style="1" customWidth="1"/>
    <col min="8" max="8" width="5.140625" style="1" bestFit="1" customWidth="1"/>
    <col min="12" max="12" width="17.28515625" customWidth="1"/>
    <col min="13" max="13" width="12.7109375" customWidth="1"/>
    <col min="14" max="14" width="12.5703125" bestFit="1" customWidth="1"/>
  </cols>
  <sheetData>
    <row r="1" spans="1:7" x14ac:dyDescent="0.25">
      <c r="A1" t="s">
        <v>47</v>
      </c>
    </row>
    <row r="2" spans="1:7" x14ac:dyDescent="0.25">
      <c r="A2" s="56" t="s">
        <v>52</v>
      </c>
      <c r="C2" t="s">
        <v>15</v>
      </c>
      <c r="D2" s="35">
        <v>531267.86</v>
      </c>
      <c r="E2" s="14" t="s">
        <v>17</v>
      </c>
    </row>
    <row r="3" spans="1:7" x14ac:dyDescent="0.25">
      <c r="A3" s="2"/>
      <c r="C3" t="s">
        <v>20</v>
      </c>
      <c r="D3" s="35">
        <v>23753.55</v>
      </c>
    </row>
    <row r="4" spans="1:7" x14ac:dyDescent="0.25">
      <c r="A4" s="2"/>
      <c r="D4" s="13">
        <f>D2-D3</f>
        <v>507514.31</v>
      </c>
    </row>
    <row r="5" spans="1:7" x14ac:dyDescent="0.25">
      <c r="A5" s="2" t="s">
        <v>16</v>
      </c>
      <c r="D5" s="13">
        <f>$D$4*E5</f>
        <v>101502.86200000001</v>
      </c>
      <c r="E5" s="15">
        <v>0.2</v>
      </c>
      <c r="F5" s="68" t="s">
        <v>21</v>
      </c>
      <c r="G5" s="68"/>
    </row>
    <row r="6" spans="1:7" s="1" customFormat="1" x14ac:dyDescent="0.25">
      <c r="A6" s="2" t="s">
        <v>16</v>
      </c>
      <c r="B6"/>
      <c r="C6"/>
      <c r="D6" s="13">
        <f t="shared" ref="D6:D7" si="0">$D$4*E6</f>
        <v>50751.431000000004</v>
      </c>
      <c r="E6" s="15">
        <v>0.1</v>
      </c>
      <c r="F6" s="68" t="s">
        <v>22</v>
      </c>
      <c r="G6" s="68"/>
    </row>
    <row r="7" spans="1:7" s="1" customFormat="1" x14ac:dyDescent="0.25">
      <c r="A7" s="2" t="s">
        <v>16</v>
      </c>
      <c r="B7"/>
      <c r="C7"/>
      <c r="D7" s="13">
        <f t="shared" si="0"/>
        <v>0</v>
      </c>
      <c r="E7" s="15">
        <v>0</v>
      </c>
      <c r="F7" s="68" t="s">
        <v>23</v>
      </c>
      <c r="G7" s="68"/>
    </row>
    <row r="8" spans="1:7" s="1" customFormat="1" x14ac:dyDescent="0.25">
      <c r="A8" s="2"/>
      <c r="B8"/>
      <c r="C8"/>
      <c r="D8" s="13"/>
    </row>
    <row r="9" spans="1:7" s="1" customFormat="1" ht="15.75" thickBot="1" x14ac:dyDescent="0.3">
      <c r="A9" s="2" t="s">
        <v>18</v>
      </c>
      <c r="B9"/>
      <c r="C9"/>
      <c r="D9" s="3">
        <f>D2-D3</f>
        <v>507514.31</v>
      </c>
      <c r="E9" s="13"/>
      <c r="F9" s="69" t="s">
        <v>30</v>
      </c>
    </row>
    <row r="10" spans="1:7" s="1" customFormat="1" x14ac:dyDescent="0.25">
      <c r="A10" s="4" t="s">
        <v>2</v>
      </c>
      <c r="B10" s="5" t="s">
        <v>3</v>
      </c>
      <c r="C10" s="5" t="s">
        <v>4</v>
      </c>
      <c r="D10" s="6" t="s">
        <v>5</v>
      </c>
      <c r="F10" s="69"/>
    </row>
    <row r="11" spans="1:7" s="1" customFormat="1" x14ac:dyDescent="0.25">
      <c r="A11" s="7" t="s">
        <v>1</v>
      </c>
      <c r="B11" s="7" t="s">
        <v>6</v>
      </c>
      <c r="C11" s="7" t="s">
        <v>7</v>
      </c>
      <c r="D11" s="17">
        <f>CEILING(F42+((F43-F42)*((D9-F44)/(F45-F44))),F11)</f>
        <v>10500</v>
      </c>
      <c r="F11" s="19">
        <v>500</v>
      </c>
    </row>
    <row r="12" spans="1:7" s="1" customFormat="1" x14ac:dyDescent="0.25">
      <c r="A12" s="7" t="s">
        <v>19</v>
      </c>
      <c r="B12" s="7" t="s">
        <v>14</v>
      </c>
      <c r="C12" s="7" t="s">
        <v>51</v>
      </c>
      <c r="D12" s="8">
        <v>2635.23</v>
      </c>
      <c r="F12" s="20" t="s">
        <v>31</v>
      </c>
    </row>
    <row r="13" spans="1:7" s="1" customFormat="1" ht="75" x14ac:dyDescent="0.25">
      <c r="A13" s="49" t="s">
        <v>49</v>
      </c>
      <c r="B13" s="7" t="s">
        <v>6</v>
      </c>
      <c r="C13" s="9" t="s">
        <v>8</v>
      </c>
      <c r="D13" s="18">
        <f>CEILING(D9*0.01,F13)</f>
        <v>5100</v>
      </c>
      <c r="F13" s="21">
        <v>100</v>
      </c>
    </row>
    <row r="14" spans="1:7" s="1" customFormat="1" x14ac:dyDescent="0.25">
      <c r="A14" s="7" t="s">
        <v>0</v>
      </c>
      <c r="B14" s="7" t="s">
        <v>6</v>
      </c>
      <c r="C14" s="7" t="s">
        <v>9</v>
      </c>
      <c r="D14" s="8">
        <f>CEILING(D9*0.01,F14)</f>
        <v>6000</v>
      </c>
      <c r="F14" s="20">
        <v>1000</v>
      </c>
    </row>
    <row r="15" spans="1:7" s="1" customFormat="1" x14ac:dyDescent="0.25">
      <c r="A15"/>
      <c r="B15"/>
      <c r="C15" t="s">
        <v>10</v>
      </c>
      <c r="D15" s="8">
        <f>SUM(D11:D14)</f>
        <v>24235.23</v>
      </c>
    </row>
    <row r="16" spans="1:7" s="1" customFormat="1" x14ac:dyDescent="0.25">
      <c r="A16"/>
      <c r="B16"/>
      <c r="C16"/>
      <c r="D16"/>
    </row>
    <row r="17" spans="1:5" s="1" customFormat="1" x14ac:dyDescent="0.25">
      <c r="A17"/>
      <c r="B17"/>
      <c r="C17"/>
      <c r="D17"/>
    </row>
    <row r="18" spans="1:5" s="1" customFormat="1" x14ac:dyDescent="0.25">
      <c r="A18"/>
      <c r="B18"/>
      <c r="C18"/>
      <c r="D18"/>
    </row>
    <row r="19" spans="1:5" s="1" customFormat="1" x14ac:dyDescent="0.25">
      <c r="A19" s="62" t="s">
        <v>1</v>
      </c>
      <c r="B19" s="62"/>
      <c r="C19" s="62"/>
      <c r="D19" s="62"/>
    </row>
    <row r="20" spans="1:5" s="1" customFormat="1" ht="26.25" x14ac:dyDescent="0.25">
      <c r="A20" s="10" t="s">
        <v>11</v>
      </c>
      <c r="B20" s="11" t="s">
        <v>12</v>
      </c>
      <c r="C20" s="10" t="s">
        <v>13</v>
      </c>
      <c r="D20" s="10" t="s">
        <v>1</v>
      </c>
    </row>
    <row r="21" spans="1:5" s="1" customFormat="1" x14ac:dyDescent="0.25">
      <c r="A21" s="12">
        <v>0</v>
      </c>
      <c r="B21" s="12">
        <v>50000</v>
      </c>
      <c r="C21" s="12">
        <v>0</v>
      </c>
      <c r="D21" s="12">
        <f>IF($D$9&gt;=B21,0,((($D$9-A21)/(B21-A21))*C21)+C21)</f>
        <v>0</v>
      </c>
    </row>
    <row r="22" spans="1:5" s="1" customFormat="1" x14ac:dyDescent="0.25">
      <c r="A22" s="12">
        <v>50000</v>
      </c>
      <c r="B22" s="12">
        <v>100000</v>
      </c>
      <c r="C22" s="12">
        <v>2000</v>
      </c>
      <c r="D22" s="12">
        <f>IF($D$9&gt;=B22,0,((($D$9-#REF!)/(B22-A22))*C21)+C21)</f>
        <v>0</v>
      </c>
    </row>
    <row r="23" spans="1:5" s="1" customFormat="1" x14ac:dyDescent="0.25">
      <c r="A23" s="12">
        <v>100000</v>
      </c>
      <c r="B23" s="12">
        <v>200000</v>
      </c>
      <c r="C23" s="12">
        <v>4000</v>
      </c>
      <c r="D23" s="12">
        <f t="shared" ref="D23:D32" si="1">IF($D$9&gt;=B23,0,((($D$9-A23)/(B23-A23))*C22)+C22)</f>
        <v>0</v>
      </c>
    </row>
    <row r="24" spans="1:5" s="1" customFormat="1" x14ac:dyDescent="0.25">
      <c r="A24" s="12">
        <v>200000</v>
      </c>
      <c r="B24" s="12">
        <v>500000</v>
      </c>
      <c r="C24" s="12">
        <v>10000</v>
      </c>
      <c r="D24" s="12">
        <f t="shared" si="1"/>
        <v>0</v>
      </c>
    </row>
    <row r="25" spans="1:5" s="1" customFormat="1" x14ac:dyDescent="0.25">
      <c r="A25" s="12">
        <v>500000</v>
      </c>
      <c r="B25" s="12">
        <v>1000000</v>
      </c>
      <c r="C25" s="12">
        <v>20000</v>
      </c>
      <c r="D25" s="12">
        <f t="shared" si="1"/>
        <v>10150.2862</v>
      </c>
      <c r="E25" s="1" t="s">
        <v>43</v>
      </c>
    </row>
    <row r="26" spans="1:5" s="1" customFormat="1" x14ac:dyDescent="0.25">
      <c r="A26" s="12">
        <v>1000000</v>
      </c>
      <c r="B26" s="12">
        <v>2000000</v>
      </c>
      <c r="C26" s="12">
        <v>40000</v>
      </c>
      <c r="D26" s="12">
        <f t="shared" si="1"/>
        <v>10150.2862</v>
      </c>
    </row>
    <row r="27" spans="1:5" s="1" customFormat="1" x14ac:dyDescent="0.25">
      <c r="A27" s="12">
        <v>2000000</v>
      </c>
      <c r="B27" s="12">
        <v>5000000</v>
      </c>
      <c r="C27" s="12">
        <v>100000</v>
      </c>
      <c r="D27" s="12">
        <f t="shared" si="1"/>
        <v>20100.1908</v>
      </c>
    </row>
    <row r="28" spans="1:5" s="1" customFormat="1" x14ac:dyDescent="0.25">
      <c r="A28" s="12">
        <v>5000000</v>
      </c>
      <c r="B28" s="12">
        <v>10000000</v>
      </c>
      <c r="C28" s="12">
        <v>200000</v>
      </c>
      <c r="D28" s="12">
        <f t="shared" si="1"/>
        <v>10150.286199999988</v>
      </c>
    </row>
    <row r="29" spans="1:5" s="1" customFormat="1" x14ac:dyDescent="0.25">
      <c r="A29" s="12">
        <v>10000000</v>
      </c>
      <c r="B29" s="12">
        <v>20000000</v>
      </c>
      <c r="C29" s="12">
        <v>400000</v>
      </c>
      <c r="D29" s="12">
        <f t="shared" si="1"/>
        <v>10150.286200000002</v>
      </c>
    </row>
    <row r="30" spans="1:5" s="1" customFormat="1" x14ac:dyDescent="0.25">
      <c r="A30" s="12">
        <v>20000000</v>
      </c>
      <c r="B30" s="12">
        <v>40000000</v>
      </c>
      <c r="C30" s="12">
        <v>800000</v>
      </c>
      <c r="D30" s="12">
        <f t="shared" si="1"/>
        <v>10150.286199999973</v>
      </c>
    </row>
    <row r="31" spans="1:5" s="1" customFormat="1" x14ac:dyDescent="0.25">
      <c r="A31" s="12">
        <v>40000000</v>
      </c>
      <c r="B31" s="12">
        <v>60000000</v>
      </c>
      <c r="C31" s="12">
        <v>1200000</v>
      </c>
      <c r="D31" s="12">
        <f t="shared" si="1"/>
        <v>-779699.42760000005</v>
      </c>
    </row>
    <row r="32" spans="1:5" s="1" customFormat="1" x14ac:dyDescent="0.25">
      <c r="A32" s="12">
        <v>60000000</v>
      </c>
      <c r="B32" s="12">
        <v>80000000</v>
      </c>
      <c r="C32" s="12">
        <v>1600000</v>
      </c>
      <c r="D32" s="12">
        <f t="shared" si="1"/>
        <v>-2369549.1414000001</v>
      </c>
    </row>
    <row r="33" spans="1:14" s="1" customFormat="1" x14ac:dyDescent="0.25">
      <c r="A33" s="12">
        <v>80000000</v>
      </c>
      <c r="B33" s="16">
        <v>1E+201</v>
      </c>
      <c r="C33" s="12">
        <v>2000000</v>
      </c>
      <c r="D33" s="12">
        <f>IF(D9&gt;=B33,0,(((D9-A33)/(B33-A33))*C33)+C33)</f>
        <v>2000000</v>
      </c>
      <c r="L33"/>
      <c r="M33"/>
      <c r="N33"/>
    </row>
    <row r="37" spans="1:14" ht="15.75" thickBot="1" x14ac:dyDescent="0.3"/>
    <row r="38" spans="1:14" x14ac:dyDescent="0.25">
      <c r="A38" s="63" t="s">
        <v>32</v>
      </c>
      <c r="B38" s="64"/>
      <c r="C38" s="64"/>
      <c r="D38" s="64"/>
      <c r="E38" s="64"/>
      <c r="F38" s="64"/>
      <c r="G38" s="65"/>
    </row>
    <row r="39" spans="1:14" x14ac:dyDescent="0.25">
      <c r="A39" s="22">
        <f>A33</f>
        <v>80000000</v>
      </c>
      <c r="B39" s="23">
        <v>1E+201</v>
      </c>
      <c r="C39" s="24">
        <f>C33</f>
        <v>2000000</v>
      </c>
      <c r="G39" s="25"/>
    </row>
    <row r="40" spans="1:14" x14ac:dyDescent="0.25">
      <c r="A40" s="22">
        <f>A32</f>
        <v>60000000</v>
      </c>
      <c r="B40" s="24">
        <f>B32</f>
        <v>80000000</v>
      </c>
      <c r="C40" s="24">
        <f>C32</f>
        <v>1600000</v>
      </c>
      <c r="E40" s="66" t="s">
        <v>24</v>
      </c>
      <c r="F40" s="66"/>
      <c r="G40" s="67"/>
    </row>
    <row r="41" spans="1:14" x14ac:dyDescent="0.25">
      <c r="A41" s="22">
        <f>A31</f>
        <v>40000000</v>
      </c>
      <c r="B41" s="24">
        <f>B31</f>
        <v>60000000</v>
      </c>
      <c r="C41" s="24">
        <f>C31</f>
        <v>1200000</v>
      </c>
      <c r="E41" s="26"/>
      <c r="F41" s="26"/>
      <c r="G41" s="27" t="s">
        <v>25</v>
      </c>
    </row>
    <row r="42" spans="1:14" x14ac:dyDescent="0.25">
      <c r="A42" s="22">
        <f>A30</f>
        <v>20000000</v>
      </c>
      <c r="B42" s="24">
        <f>B30</f>
        <v>40000000</v>
      </c>
      <c r="C42" s="24">
        <f>C30</f>
        <v>800000</v>
      </c>
      <c r="E42" s="26" t="s">
        <v>29</v>
      </c>
      <c r="F42" s="28">
        <f>INDEX(C39:C52,G43+1)</f>
        <v>10000</v>
      </c>
      <c r="G42" s="29">
        <f>G43+1</f>
        <v>10</v>
      </c>
    </row>
    <row r="43" spans="1:14" x14ac:dyDescent="0.25">
      <c r="A43" s="22">
        <f>A29</f>
        <v>10000000</v>
      </c>
      <c r="B43" s="24">
        <f>B29</f>
        <v>20000000</v>
      </c>
      <c r="C43" s="24">
        <f>C29</f>
        <v>400000</v>
      </c>
      <c r="E43" s="26" t="s">
        <v>28</v>
      </c>
      <c r="F43" s="28">
        <f>INDEX($C$39:$C$52,MATCH(D9,$B$39:$B$52,-1))</f>
        <v>20000</v>
      </c>
      <c r="G43" s="29">
        <f>MATCH(D9,$B$39:$B$51,-1)</f>
        <v>9</v>
      </c>
    </row>
    <row r="44" spans="1:14" x14ac:dyDescent="0.25">
      <c r="A44" s="22">
        <f>A28</f>
        <v>5000000</v>
      </c>
      <c r="B44" s="24">
        <f>B28</f>
        <v>10000000</v>
      </c>
      <c r="C44" s="24">
        <f>C28</f>
        <v>200000</v>
      </c>
      <c r="E44" s="26" t="s">
        <v>26</v>
      </c>
      <c r="F44" s="28">
        <f>INDEX(A39:A51,G43)</f>
        <v>500000</v>
      </c>
      <c r="G44" s="29">
        <f>G43</f>
        <v>9</v>
      </c>
    </row>
    <row r="45" spans="1:14" x14ac:dyDescent="0.25">
      <c r="A45" s="22">
        <f>A27</f>
        <v>2000000</v>
      </c>
      <c r="B45" s="24">
        <f>B27</f>
        <v>5000000</v>
      </c>
      <c r="C45" s="24">
        <f>C27</f>
        <v>100000</v>
      </c>
      <c r="E45" s="26" t="s">
        <v>27</v>
      </c>
      <c r="F45" s="28">
        <f>INDEX(B39:B51,G43)</f>
        <v>1000000</v>
      </c>
      <c r="G45" s="29">
        <f>G43</f>
        <v>9</v>
      </c>
    </row>
    <row r="46" spans="1:14" x14ac:dyDescent="0.25">
      <c r="A46" s="22">
        <f>A26</f>
        <v>1000000</v>
      </c>
      <c r="B46" s="24">
        <f>B26</f>
        <v>2000000</v>
      </c>
      <c r="C46" s="24">
        <f>C26</f>
        <v>40000</v>
      </c>
      <c r="E46"/>
      <c r="F46"/>
      <c r="G46" s="30"/>
    </row>
    <row r="47" spans="1:14" x14ac:dyDescent="0.25">
      <c r="A47" s="22">
        <f>A25</f>
        <v>500000</v>
      </c>
      <c r="B47" s="24">
        <f>B25</f>
        <v>1000000</v>
      </c>
      <c r="C47" s="24">
        <f>C25</f>
        <v>20000</v>
      </c>
      <c r="G47" s="25"/>
    </row>
    <row r="48" spans="1:14" x14ac:dyDescent="0.25">
      <c r="A48" s="22">
        <f>A24</f>
        <v>200000</v>
      </c>
      <c r="B48" s="24">
        <f>B24</f>
        <v>500000</v>
      </c>
      <c r="C48" s="24">
        <f>C24</f>
        <v>10000</v>
      </c>
      <c r="G48" s="25"/>
    </row>
    <row r="49" spans="1:7" x14ac:dyDescent="0.25">
      <c r="A49" s="22">
        <f>A23</f>
        <v>100000</v>
      </c>
      <c r="B49" s="24">
        <f>B23</f>
        <v>200000</v>
      </c>
      <c r="C49" s="24">
        <f>C23</f>
        <v>4000</v>
      </c>
      <c r="G49" s="25"/>
    </row>
    <row r="50" spans="1:7" x14ac:dyDescent="0.25">
      <c r="A50" s="22">
        <f>A22</f>
        <v>50000</v>
      </c>
      <c r="B50" s="24">
        <f>B22</f>
        <v>100000</v>
      </c>
      <c r="C50" s="24">
        <f>C22</f>
        <v>2000</v>
      </c>
      <c r="G50" s="25"/>
    </row>
    <row r="51" spans="1:7" x14ac:dyDescent="0.25">
      <c r="A51" s="22">
        <f>A21</f>
        <v>0</v>
      </c>
      <c r="B51" s="24">
        <f>B21</f>
        <v>50000</v>
      </c>
      <c r="C51" s="24">
        <f>C21</f>
        <v>0</v>
      </c>
      <c r="G51" s="25"/>
    </row>
    <row r="52" spans="1:7" ht="15.75" thickBot="1" x14ac:dyDescent="0.3">
      <c r="A52" s="31">
        <v>0</v>
      </c>
      <c r="B52" s="32">
        <v>0</v>
      </c>
      <c r="C52" s="32">
        <v>0</v>
      </c>
      <c r="D52" s="33"/>
      <c r="E52" s="33"/>
      <c r="F52" s="33"/>
      <c r="G52" s="34"/>
    </row>
  </sheetData>
  <mergeCells count="7">
    <mergeCell ref="A19:D19"/>
    <mergeCell ref="A38:G38"/>
    <mergeCell ref="E40:G40"/>
    <mergeCell ref="F5:G5"/>
    <mergeCell ref="F6:G6"/>
    <mergeCell ref="F7:G7"/>
    <mergeCell ref="F9:F10"/>
  </mergeCells>
  <pageMargins left="0.7" right="0.7" top="0.75" bottom="0.75" header="0.3" footer="0.3"/>
  <pageSetup orientation="landscape" r:id="rId1"/>
  <headerFooter>
    <oddHeader>&amp;F</oddHeader>
    <oddFooter>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2"/>
  <sheetViews>
    <sheetView workbookViewId="0">
      <selection activeCell="A2" sqref="A2"/>
    </sheetView>
  </sheetViews>
  <sheetFormatPr defaultRowHeight="15" x14ac:dyDescent="0.25"/>
  <cols>
    <col min="1" max="1" width="44.85546875" bestFit="1" customWidth="1"/>
    <col min="2" max="2" width="24" customWidth="1"/>
    <col min="3" max="3" width="40.28515625" bestFit="1" customWidth="1"/>
    <col min="4" max="4" width="14.42578125" style="1" bestFit="1" customWidth="1"/>
    <col min="5" max="5" width="18.42578125" style="1" customWidth="1"/>
    <col min="6" max="6" width="15" style="1" customWidth="1"/>
    <col min="7" max="7" width="12.42578125" style="1" customWidth="1"/>
    <col min="8" max="8" width="5.140625" style="1" bestFit="1" customWidth="1"/>
    <col min="12" max="12" width="17.28515625" customWidth="1"/>
    <col min="13" max="13" width="12.7109375" customWidth="1"/>
    <col min="14" max="14" width="12.5703125" bestFit="1" customWidth="1"/>
  </cols>
  <sheetData>
    <row r="1" spans="1:7" x14ac:dyDescent="0.25">
      <c r="A1" t="s">
        <v>46</v>
      </c>
    </row>
    <row r="2" spans="1:7" x14ac:dyDescent="0.25">
      <c r="A2" s="56" t="s">
        <v>52</v>
      </c>
      <c r="C2" t="s">
        <v>15</v>
      </c>
      <c r="D2" s="35">
        <v>583188.55000000005</v>
      </c>
      <c r="E2" s="14" t="s">
        <v>17</v>
      </c>
    </row>
    <row r="3" spans="1:7" x14ac:dyDescent="0.25">
      <c r="A3" s="2"/>
      <c r="C3" t="s">
        <v>20</v>
      </c>
      <c r="D3" s="35">
        <v>20400</v>
      </c>
    </row>
    <row r="4" spans="1:7" x14ac:dyDescent="0.25">
      <c r="A4" s="2"/>
      <c r="D4" s="35">
        <f>D2-D3</f>
        <v>562788.55000000005</v>
      </c>
    </row>
    <row r="5" spans="1:7" x14ac:dyDescent="0.25">
      <c r="A5" s="2" t="s">
        <v>16</v>
      </c>
      <c r="D5" s="35">
        <f>$D$4*E5</f>
        <v>112557.71000000002</v>
      </c>
      <c r="E5" s="54">
        <v>0.2</v>
      </c>
      <c r="F5" s="68" t="s">
        <v>21</v>
      </c>
      <c r="G5" s="68"/>
    </row>
    <row r="6" spans="1:7" s="1" customFormat="1" x14ac:dyDescent="0.25">
      <c r="A6" s="2" t="s">
        <v>16</v>
      </c>
      <c r="B6"/>
      <c r="C6"/>
      <c r="D6" s="35">
        <f t="shared" ref="D6:D7" si="0">$D$4*E6</f>
        <v>56278.85500000001</v>
      </c>
      <c r="E6" s="54">
        <v>0.1</v>
      </c>
      <c r="F6" s="68" t="s">
        <v>22</v>
      </c>
      <c r="G6" s="68"/>
    </row>
    <row r="7" spans="1:7" s="1" customFormat="1" x14ac:dyDescent="0.25">
      <c r="A7" s="2" t="s">
        <v>16</v>
      </c>
      <c r="B7"/>
      <c r="C7"/>
      <c r="D7" s="13">
        <f t="shared" si="0"/>
        <v>0</v>
      </c>
      <c r="E7" s="15">
        <v>0</v>
      </c>
      <c r="F7" s="68" t="s">
        <v>23</v>
      </c>
      <c r="G7" s="68"/>
    </row>
    <row r="8" spans="1:7" s="1" customFormat="1" x14ac:dyDescent="0.25">
      <c r="A8" s="2"/>
      <c r="B8"/>
      <c r="C8"/>
      <c r="D8" s="13"/>
    </row>
    <row r="9" spans="1:7" s="1" customFormat="1" ht="15.75" thickBot="1" x14ac:dyDescent="0.3">
      <c r="A9" s="2" t="s">
        <v>18</v>
      </c>
      <c r="B9"/>
      <c r="C9"/>
      <c r="D9" s="3">
        <f>D2-D3</f>
        <v>562788.55000000005</v>
      </c>
      <c r="E9" s="13"/>
      <c r="F9" s="69" t="s">
        <v>30</v>
      </c>
    </row>
    <row r="10" spans="1:7" s="1" customFormat="1" x14ac:dyDescent="0.25">
      <c r="A10" s="4" t="s">
        <v>2</v>
      </c>
      <c r="B10" s="5" t="s">
        <v>3</v>
      </c>
      <c r="C10" s="5" t="s">
        <v>4</v>
      </c>
      <c r="D10" s="6" t="s">
        <v>5</v>
      </c>
      <c r="F10" s="69"/>
    </row>
    <row r="11" spans="1:7" s="1" customFormat="1" x14ac:dyDescent="0.25">
      <c r="A11" s="7" t="s">
        <v>1</v>
      </c>
      <c r="B11" s="7" t="s">
        <v>6</v>
      </c>
      <c r="C11" s="7" t="s">
        <v>7</v>
      </c>
      <c r="D11" s="17">
        <f>CEILING(F42+((F43-F42)*((D9-F44)/(F45-F44))),F11)</f>
        <v>11500</v>
      </c>
      <c r="F11" s="19">
        <v>500</v>
      </c>
    </row>
    <row r="12" spans="1:7" s="1" customFormat="1" x14ac:dyDescent="0.25">
      <c r="A12" s="7" t="s">
        <v>19</v>
      </c>
      <c r="B12" s="7" t="s">
        <v>14</v>
      </c>
      <c r="C12" s="7" t="s">
        <v>51</v>
      </c>
      <c r="D12" s="8">
        <v>2635.23</v>
      </c>
      <c r="F12" s="20" t="s">
        <v>31</v>
      </c>
    </row>
    <row r="13" spans="1:7" s="1" customFormat="1" ht="75" x14ac:dyDescent="0.25">
      <c r="A13" s="49" t="s">
        <v>49</v>
      </c>
      <c r="B13" s="7" t="s">
        <v>6</v>
      </c>
      <c r="C13" s="9" t="s">
        <v>8</v>
      </c>
      <c r="D13" s="18">
        <f>CEILING(D9*0.01,F13)</f>
        <v>5700</v>
      </c>
      <c r="F13" s="21">
        <v>100</v>
      </c>
    </row>
    <row r="14" spans="1:7" s="1" customFormat="1" x14ac:dyDescent="0.25">
      <c r="A14" s="7" t="s">
        <v>0</v>
      </c>
      <c r="B14" s="7" t="s">
        <v>6</v>
      </c>
      <c r="C14" s="7" t="s">
        <v>9</v>
      </c>
      <c r="D14" s="8">
        <f>CEILING(D9*0.01,F14)</f>
        <v>6000</v>
      </c>
      <c r="F14" s="20">
        <v>1000</v>
      </c>
    </row>
    <row r="15" spans="1:7" s="1" customFormat="1" x14ac:dyDescent="0.25">
      <c r="A15"/>
      <c r="B15"/>
      <c r="C15" t="s">
        <v>10</v>
      </c>
      <c r="D15" s="8">
        <f>SUM(D11:D14)</f>
        <v>25835.23</v>
      </c>
    </row>
    <row r="16" spans="1:7" s="1" customFormat="1" x14ac:dyDescent="0.25">
      <c r="A16"/>
      <c r="B16"/>
      <c r="C16"/>
      <c r="D16"/>
    </row>
    <row r="17" spans="1:5" s="1" customFormat="1" x14ac:dyDescent="0.25">
      <c r="A17"/>
      <c r="B17"/>
      <c r="C17"/>
      <c r="D17"/>
    </row>
    <row r="18" spans="1:5" s="1" customFormat="1" x14ac:dyDescent="0.25">
      <c r="A18"/>
      <c r="B18"/>
      <c r="C18"/>
      <c r="D18"/>
    </row>
    <row r="19" spans="1:5" s="1" customFormat="1" x14ac:dyDescent="0.25">
      <c r="A19" s="62" t="s">
        <v>1</v>
      </c>
      <c r="B19" s="62"/>
      <c r="C19" s="62"/>
      <c r="D19" s="62"/>
    </row>
    <row r="20" spans="1:5" s="1" customFormat="1" ht="26.25" x14ac:dyDescent="0.25">
      <c r="A20" s="10" t="s">
        <v>11</v>
      </c>
      <c r="B20" s="11" t="s">
        <v>12</v>
      </c>
      <c r="C20" s="10" t="s">
        <v>13</v>
      </c>
      <c r="D20" s="10" t="s">
        <v>1</v>
      </c>
    </row>
    <row r="21" spans="1:5" s="1" customFormat="1" x14ac:dyDescent="0.25">
      <c r="A21" s="12">
        <v>0</v>
      </c>
      <c r="B21" s="12">
        <v>50000</v>
      </c>
      <c r="C21" s="12">
        <v>0</v>
      </c>
      <c r="D21" s="12">
        <f>IF($D$9&gt;=B21,0,((($D$9-A21)/(B21-A21))*C21)+C21)</f>
        <v>0</v>
      </c>
    </row>
    <row r="22" spans="1:5" s="1" customFormat="1" x14ac:dyDescent="0.25">
      <c r="A22" s="12">
        <v>50000</v>
      </c>
      <c r="B22" s="12">
        <v>100000</v>
      </c>
      <c r="C22" s="12">
        <v>2000</v>
      </c>
      <c r="D22" s="12">
        <f>IF($D$9&gt;=B22,0,((($D$9-#REF!)/(B22-A22))*C21)+C21)</f>
        <v>0</v>
      </c>
    </row>
    <row r="23" spans="1:5" s="1" customFormat="1" x14ac:dyDescent="0.25">
      <c r="A23" s="12">
        <v>100000</v>
      </c>
      <c r="B23" s="12">
        <v>200000</v>
      </c>
      <c r="C23" s="12">
        <v>4000</v>
      </c>
      <c r="D23" s="12">
        <f t="shared" ref="D23:D32" si="1">IF($D$9&gt;=B23,0,((($D$9-A23)/(B23-A23))*C22)+C22)</f>
        <v>0</v>
      </c>
    </row>
    <row r="24" spans="1:5" s="1" customFormat="1" x14ac:dyDescent="0.25">
      <c r="A24" s="12">
        <v>200000</v>
      </c>
      <c r="B24" s="12">
        <v>500000</v>
      </c>
      <c r="C24" s="12">
        <v>10000</v>
      </c>
      <c r="D24" s="12">
        <f t="shared" si="1"/>
        <v>0</v>
      </c>
    </row>
    <row r="25" spans="1:5" s="1" customFormat="1" x14ac:dyDescent="0.25">
      <c r="A25" s="12">
        <v>500000</v>
      </c>
      <c r="B25" s="12">
        <v>1000000</v>
      </c>
      <c r="C25" s="12">
        <v>20000</v>
      </c>
      <c r="D25" s="12">
        <f t="shared" si="1"/>
        <v>11255.771000000001</v>
      </c>
      <c r="E25" s="1" t="s">
        <v>43</v>
      </c>
    </row>
    <row r="26" spans="1:5" s="1" customFormat="1" x14ac:dyDescent="0.25">
      <c r="A26" s="12">
        <v>1000000</v>
      </c>
      <c r="B26" s="12">
        <v>2000000</v>
      </c>
      <c r="C26" s="12">
        <v>40000</v>
      </c>
      <c r="D26" s="12">
        <f t="shared" si="1"/>
        <v>11255.771000000001</v>
      </c>
      <c r="E26" s="14"/>
    </row>
    <row r="27" spans="1:5" s="1" customFormat="1" x14ac:dyDescent="0.25">
      <c r="A27" s="12">
        <v>2000000</v>
      </c>
      <c r="B27" s="12">
        <v>5000000</v>
      </c>
      <c r="C27" s="12">
        <v>100000</v>
      </c>
      <c r="D27" s="12">
        <f t="shared" si="1"/>
        <v>20837.180666666667</v>
      </c>
      <c r="E27" s="14"/>
    </row>
    <row r="28" spans="1:5" s="1" customFormat="1" x14ac:dyDescent="0.25">
      <c r="A28" s="12">
        <v>5000000</v>
      </c>
      <c r="B28" s="12">
        <v>10000000</v>
      </c>
      <c r="C28" s="12">
        <v>200000</v>
      </c>
      <c r="D28" s="12">
        <f t="shared" si="1"/>
        <v>11255.770999999993</v>
      </c>
    </row>
    <row r="29" spans="1:5" s="1" customFormat="1" x14ac:dyDescent="0.25">
      <c r="A29" s="12">
        <v>10000000</v>
      </c>
      <c r="B29" s="12">
        <v>20000000</v>
      </c>
      <c r="C29" s="12">
        <v>400000</v>
      </c>
      <c r="D29" s="12">
        <f t="shared" si="1"/>
        <v>11255.771000000008</v>
      </c>
    </row>
    <row r="30" spans="1:5" s="1" customFormat="1" x14ac:dyDescent="0.25">
      <c r="A30" s="12">
        <v>20000000</v>
      </c>
      <c r="B30" s="12">
        <v>40000000</v>
      </c>
      <c r="C30" s="12">
        <v>800000</v>
      </c>
      <c r="D30" s="12">
        <f t="shared" si="1"/>
        <v>11255.771000000008</v>
      </c>
    </row>
    <row r="31" spans="1:5" s="1" customFormat="1" x14ac:dyDescent="0.25">
      <c r="A31" s="12">
        <v>40000000</v>
      </c>
      <c r="B31" s="12">
        <v>60000000</v>
      </c>
      <c r="C31" s="12">
        <v>1200000</v>
      </c>
      <c r="D31" s="12">
        <f t="shared" si="1"/>
        <v>-777488.4580000001</v>
      </c>
    </row>
    <row r="32" spans="1:5" s="1" customFormat="1" x14ac:dyDescent="0.25">
      <c r="A32" s="12">
        <v>60000000</v>
      </c>
      <c r="B32" s="12">
        <v>80000000</v>
      </c>
      <c r="C32" s="12">
        <v>1600000</v>
      </c>
      <c r="D32" s="12">
        <f t="shared" si="1"/>
        <v>-2366232.6870000004</v>
      </c>
    </row>
    <row r="33" spans="1:14" s="1" customFormat="1" x14ac:dyDescent="0.25">
      <c r="A33" s="12">
        <v>80000000</v>
      </c>
      <c r="B33" s="16">
        <v>1E+201</v>
      </c>
      <c r="C33" s="12">
        <v>2000000</v>
      </c>
      <c r="D33" s="12">
        <f>IF(D9&gt;=B33,0,(((D9-A33)/(B33-A33))*C33)+C33)</f>
        <v>2000000</v>
      </c>
      <c r="L33"/>
      <c r="M33"/>
      <c r="N33"/>
    </row>
    <row r="37" spans="1:14" ht="15.75" thickBot="1" x14ac:dyDescent="0.3"/>
    <row r="38" spans="1:14" x14ac:dyDescent="0.25">
      <c r="A38" s="63" t="s">
        <v>32</v>
      </c>
      <c r="B38" s="64"/>
      <c r="C38" s="64"/>
      <c r="D38" s="64"/>
      <c r="E38" s="64"/>
      <c r="F38" s="64"/>
      <c r="G38" s="65"/>
    </row>
    <row r="39" spans="1:14" x14ac:dyDescent="0.25">
      <c r="A39" s="22">
        <f>A33</f>
        <v>80000000</v>
      </c>
      <c r="B39" s="23">
        <v>1E+201</v>
      </c>
      <c r="C39" s="24">
        <f>C33</f>
        <v>2000000</v>
      </c>
      <c r="G39" s="25"/>
    </row>
    <row r="40" spans="1:14" x14ac:dyDescent="0.25">
      <c r="A40" s="22">
        <f>A32</f>
        <v>60000000</v>
      </c>
      <c r="B40" s="24">
        <f>B32</f>
        <v>80000000</v>
      </c>
      <c r="C40" s="24">
        <f>C32</f>
        <v>1600000</v>
      </c>
      <c r="E40" s="66" t="s">
        <v>24</v>
      </c>
      <c r="F40" s="66"/>
      <c r="G40" s="67"/>
    </row>
    <row r="41" spans="1:14" x14ac:dyDescent="0.25">
      <c r="A41" s="22">
        <f>A31</f>
        <v>40000000</v>
      </c>
      <c r="B41" s="24">
        <f>B31</f>
        <v>60000000</v>
      </c>
      <c r="C41" s="24">
        <f>C31</f>
        <v>1200000</v>
      </c>
      <c r="E41" s="26"/>
      <c r="F41" s="26"/>
      <c r="G41" s="27" t="s">
        <v>25</v>
      </c>
    </row>
    <row r="42" spans="1:14" x14ac:dyDescent="0.25">
      <c r="A42" s="22">
        <f>A30</f>
        <v>20000000</v>
      </c>
      <c r="B42" s="24">
        <f>B30</f>
        <v>40000000</v>
      </c>
      <c r="C42" s="24">
        <f>C30</f>
        <v>800000</v>
      </c>
      <c r="E42" s="26" t="s">
        <v>29</v>
      </c>
      <c r="F42" s="28">
        <f>INDEX(C39:C52,G43+1)</f>
        <v>10000</v>
      </c>
      <c r="G42" s="29">
        <f>G43+1</f>
        <v>10</v>
      </c>
    </row>
    <row r="43" spans="1:14" x14ac:dyDescent="0.25">
      <c r="A43" s="22">
        <f>A29</f>
        <v>10000000</v>
      </c>
      <c r="B43" s="24">
        <f>B29</f>
        <v>20000000</v>
      </c>
      <c r="C43" s="24">
        <f>C29</f>
        <v>400000</v>
      </c>
      <c r="E43" s="26" t="s">
        <v>28</v>
      </c>
      <c r="F43" s="28">
        <f>INDEX($C$39:$C$52,MATCH(D9,$B$39:$B$52,-1))</f>
        <v>20000</v>
      </c>
      <c r="G43" s="29">
        <f>MATCH(D9,$B$39:$B$51,-1)</f>
        <v>9</v>
      </c>
    </row>
    <row r="44" spans="1:14" x14ac:dyDescent="0.25">
      <c r="A44" s="22">
        <f>A28</f>
        <v>5000000</v>
      </c>
      <c r="B44" s="24">
        <f>B28</f>
        <v>10000000</v>
      </c>
      <c r="C44" s="24">
        <f>C28</f>
        <v>200000</v>
      </c>
      <c r="E44" s="26" t="s">
        <v>26</v>
      </c>
      <c r="F44" s="28">
        <f>INDEX(A39:A51,G43)</f>
        <v>500000</v>
      </c>
      <c r="G44" s="29">
        <f>G43</f>
        <v>9</v>
      </c>
    </row>
    <row r="45" spans="1:14" x14ac:dyDescent="0.25">
      <c r="A45" s="22">
        <f>A27</f>
        <v>2000000</v>
      </c>
      <c r="B45" s="24">
        <f>B27</f>
        <v>5000000</v>
      </c>
      <c r="C45" s="24">
        <f>C27</f>
        <v>100000</v>
      </c>
      <c r="E45" s="26" t="s">
        <v>27</v>
      </c>
      <c r="F45" s="28">
        <f>INDEX(B39:B51,G43)</f>
        <v>1000000</v>
      </c>
      <c r="G45" s="29">
        <f>G43</f>
        <v>9</v>
      </c>
    </row>
    <row r="46" spans="1:14" x14ac:dyDescent="0.25">
      <c r="A46" s="22">
        <f>A26</f>
        <v>1000000</v>
      </c>
      <c r="B46" s="24">
        <f>B26</f>
        <v>2000000</v>
      </c>
      <c r="C46" s="24">
        <f>C26</f>
        <v>40000</v>
      </c>
      <c r="E46"/>
      <c r="F46"/>
      <c r="G46" s="30"/>
    </row>
    <row r="47" spans="1:14" x14ac:dyDescent="0.25">
      <c r="A47" s="22">
        <f>A25</f>
        <v>500000</v>
      </c>
      <c r="B47" s="24">
        <f>B25</f>
        <v>1000000</v>
      </c>
      <c r="C47" s="24">
        <f>C25</f>
        <v>20000</v>
      </c>
      <c r="G47" s="25"/>
    </row>
    <row r="48" spans="1:14" x14ac:dyDescent="0.25">
      <c r="A48" s="22">
        <f>A24</f>
        <v>200000</v>
      </c>
      <c r="B48" s="24">
        <f>B24</f>
        <v>500000</v>
      </c>
      <c r="C48" s="24">
        <f>C24</f>
        <v>10000</v>
      </c>
      <c r="G48" s="25"/>
    </row>
    <row r="49" spans="1:7" x14ac:dyDescent="0.25">
      <c r="A49" s="22">
        <f>A23</f>
        <v>100000</v>
      </c>
      <c r="B49" s="24">
        <f>B23</f>
        <v>200000</v>
      </c>
      <c r="C49" s="24">
        <f>C23</f>
        <v>4000</v>
      </c>
      <c r="G49" s="25"/>
    </row>
    <row r="50" spans="1:7" x14ac:dyDescent="0.25">
      <c r="A50" s="22">
        <f>A22</f>
        <v>50000</v>
      </c>
      <c r="B50" s="24">
        <f>B22</f>
        <v>100000</v>
      </c>
      <c r="C50" s="24">
        <f>C22</f>
        <v>2000</v>
      </c>
      <c r="G50" s="25"/>
    </row>
    <row r="51" spans="1:7" x14ac:dyDescent="0.25">
      <c r="A51" s="22">
        <f>A21</f>
        <v>0</v>
      </c>
      <c r="B51" s="24">
        <f>B21</f>
        <v>50000</v>
      </c>
      <c r="C51" s="24">
        <f>C21</f>
        <v>0</v>
      </c>
      <c r="G51" s="25"/>
    </row>
    <row r="52" spans="1:7" ht="15.75" thickBot="1" x14ac:dyDescent="0.3">
      <c r="A52" s="31">
        <v>0</v>
      </c>
      <c r="B52" s="32">
        <v>0</v>
      </c>
      <c r="C52" s="32">
        <v>0</v>
      </c>
      <c r="D52" s="33"/>
      <c r="E52" s="33"/>
      <c r="F52" s="33"/>
      <c r="G52" s="34"/>
    </row>
  </sheetData>
  <sortState xmlns:xlrd2="http://schemas.microsoft.com/office/spreadsheetml/2017/richdata2" ref="C46:C58">
    <sortCondition descending="1" ref="C36:C48"/>
  </sortState>
  <mergeCells count="7">
    <mergeCell ref="A19:D19"/>
    <mergeCell ref="F5:G5"/>
    <mergeCell ref="F6:G6"/>
    <mergeCell ref="F7:G7"/>
    <mergeCell ref="E40:G40"/>
    <mergeCell ref="F9:F10"/>
    <mergeCell ref="A38:G38"/>
  </mergeCells>
  <pageMargins left="0.7" right="0.7" top="0.75" bottom="0.75" header="0.3" footer="0.3"/>
  <pageSetup orientation="landscape" r:id="rId1"/>
  <headerFooter>
    <oddHeader>&amp;F</oddHeader>
    <oddFooter>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5173F-9907-4435-9500-9C0C3543676D}">
  <dimension ref="A1:M37"/>
  <sheetViews>
    <sheetView tabSelected="1" workbookViewId="0">
      <selection activeCell="D4" sqref="D4"/>
    </sheetView>
  </sheetViews>
  <sheetFormatPr defaultColWidth="9.140625" defaultRowHeight="15" x14ac:dyDescent="0.25"/>
  <cols>
    <col min="1" max="1" width="44.85546875" style="36" bestFit="1" customWidth="1"/>
    <col min="2" max="2" width="11.140625" style="36" bestFit="1" customWidth="1"/>
    <col min="3" max="3" width="40.28515625" style="36" bestFit="1" customWidth="1"/>
    <col min="4" max="4" width="19.140625" style="37" customWidth="1"/>
    <col min="5" max="5" width="28.140625" style="37" customWidth="1"/>
    <col min="6" max="6" width="7" style="37" bestFit="1" customWidth="1"/>
    <col min="7" max="7" width="6.42578125" style="37" bestFit="1" customWidth="1"/>
    <col min="8" max="8" width="5.140625" style="37" bestFit="1" customWidth="1"/>
    <col min="9" max="16384" width="9.140625" style="36"/>
  </cols>
  <sheetData>
    <row r="1" spans="1:13" x14ac:dyDescent="0.25">
      <c r="A1" t="s">
        <v>36</v>
      </c>
    </row>
    <row r="2" spans="1:13" x14ac:dyDescent="0.25">
      <c r="A2" s="56" t="s">
        <v>52</v>
      </c>
      <c r="E2" s="39">
        <f>D3-D9</f>
        <v>498843.94999999995</v>
      </c>
      <c r="K2" s="61"/>
    </row>
    <row r="3" spans="1:13" x14ac:dyDescent="0.25">
      <c r="C3" s="38" t="s">
        <v>37</v>
      </c>
      <c r="D3" s="35">
        <v>614343.94999999995</v>
      </c>
      <c r="E3" s="55" t="s">
        <v>17</v>
      </c>
      <c r="K3" s="61"/>
    </row>
    <row r="4" spans="1:13" x14ac:dyDescent="0.25">
      <c r="C4" s="38" t="s">
        <v>38</v>
      </c>
      <c r="D4" s="39">
        <f>41900-5000</f>
        <v>36900</v>
      </c>
      <c r="E4" s="55" t="s">
        <v>50</v>
      </c>
    </row>
    <row r="5" spans="1:13" ht="45.75" customHeight="1" x14ac:dyDescent="0.25">
      <c r="C5" s="38" t="s">
        <v>40</v>
      </c>
      <c r="D5" s="53">
        <f>D3-D12</f>
        <v>577443.94999999995</v>
      </c>
      <c r="E5" s="71" t="s">
        <v>41</v>
      </c>
      <c r="F5" s="71"/>
      <c r="G5" s="71"/>
      <c r="H5" s="71"/>
      <c r="I5" s="71"/>
      <c r="J5" s="71"/>
    </row>
    <row r="6" spans="1:13" x14ac:dyDescent="0.25">
      <c r="C6" s="38"/>
      <c r="D6" s="39"/>
      <c r="E6" s="55"/>
    </row>
    <row r="7" spans="1:13" x14ac:dyDescent="0.25">
      <c r="C7" s="38" t="s">
        <v>39</v>
      </c>
      <c r="D7" s="53">
        <f>D3-D12</f>
        <v>577443.94999999995</v>
      </c>
      <c r="E7" s="72" t="s">
        <v>42</v>
      </c>
      <c r="F7" s="73"/>
      <c r="G7" s="73"/>
      <c r="H7" s="73"/>
      <c r="I7" s="73"/>
      <c r="J7" s="73"/>
      <c r="K7" s="73"/>
      <c r="L7" s="73"/>
      <c r="M7" s="73"/>
    </row>
    <row r="8" spans="1:13" x14ac:dyDescent="0.25">
      <c r="C8" s="38"/>
      <c r="D8" s="39"/>
      <c r="E8" s="73"/>
      <c r="F8" s="73"/>
      <c r="G8" s="73"/>
      <c r="H8" s="73"/>
      <c r="I8" s="73"/>
      <c r="J8" s="73"/>
      <c r="K8" s="73"/>
      <c r="L8" s="73"/>
      <c r="M8" s="73"/>
    </row>
    <row r="9" spans="1:13" x14ac:dyDescent="0.25">
      <c r="A9" s="40" t="s">
        <v>16</v>
      </c>
      <c r="D9" s="53">
        <f>ROUNDUP($D$7*E9,-2)</f>
        <v>115500</v>
      </c>
      <c r="E9" s="41">
        <v>0.2</v>
      </c>
      <c r="F9" s="74" t="s">
        <v>21</v>
      </c>
      <c r="G9" s="74"/>
    </row>
    <row r="10" spans="1:13" s="37" customFormat="1" x14ac:dyDescent="0.25">
      <c r="A10" s="40" t="s">
        <v>16</v>
      </c>
      <c r="B10" s="36"/>
      <c r="C10" s="36"/>
      <c r="D10" s="53">
        <f>ROUNDUP($D$7*E10,-2)</f>
        <v>57800</v>
      </c>
      <c r="E10" s="41">
        <v>0.1</v>
      </c>
      <c r="F10" s="74" t="s">
        <v>22</v>
      </c>
      <c r="G10" s="74"/>
    </row>
    <row r="11" spans="1:13" s="37" customFormat="1" x14ac:dyDescent="0.25">
      <c r="A11" s="40" t="s">
        <v>16</v>
      </c>
      <c r="B11" s="36"/>
      <c r="C11" s="36"/>
      <c r="D11" s="39">
        <f>$D$3*E11</f>
        <v>0</v>
      </c>
      <c r="E11" s="41">
        <v>0</v>
      </c>
      <c r="F11" s="74" t="s">
        <v>23</v>
      </c>
      <c r="G11" s="74"/>
    </row>
    <row r="12" spans="1:13" s="37" customFormat="1" x14ac:dyDescent="0.25">
      <c r="A12" s="40" t="s">
        <v>35</v>
      </c>
      <c r="B12" s="36"/>
      <c r="C12" s="36"/>
      <c r="D12" s="39">
        <v>36900</v>
      </c>
    </row>
    <row r="13" spans="1:13" s="37" customFormat="1" x14ac:dyDescent="0.25">
      <c r="A13" s="40"/>
      <c r="B13" s="36"/>
      <c r="C13" s="36"/>
      <c r="D13" s="42"/>
    </row>
    <row r="14" spans="1:13" s="37" customFormat="1" x14ac:dyDescent="0.25">
      <c r="A14" s="50" t="s">
        <v>2</v>
      </c>
      <c r="B14" s="50" t="s">
        <v>3</v>
      </c>
      <c r="C14" s="50" t="s">
        <v>4</v>
      </c>
      <c r="D14" s="50" t="s">
        <v>34</v>
      </c>
      <c r="E14" s="59" t="s">
        <v>33</v>
      </c>
    </row>
    <row r="15" spans="1:13" s="37" customFormat="1" x14ac:dyDescent="0.25">
      <c r="A15" s="47" t="s">
        <v>1</v>
      </c>
      <c r="B15" s="47" t="s">
        <v>6</v>
      </c>
      <c r="C15" s="47" t="s">
        <v>7</v>
      </c>
      <c r="D15" s="52">
        <f>D30</f>
        <v>11548.878999999999</v>
      </c>
      <c r="E15" s="58">
        <f>ROUNDUP(D15,-2)</f>
        <v>11600</v>
      </c>
    </row>
    <row r="16" spans="1:13" s="37" customFormat="1" x14ac:dyDescent="0.25">
      <c r="A16" s="47" t="s">
        <v>19</v>
      </c>
      <c r="B16" s="47" t="s">
        <v>14</v>
      </c>
      <c r="C16" s="7" t="s">
        <v>53</v>
      </c>
      <c r="D16" s="58">
        <v>856.25</v>
      </c>
      <c r="E16" s="58">
        <f>D16*2</f>
        <v>1712.5</v>
      </c>
    </row>
    <row r="17" spans="1:5" s="37" customFormat="1" ht="75" x14ac:dyDescent="0.25">
      <c r="A17" s="49" t="s">
        <v>49</v>
      </c>
      <c r="B17" s="47" t="s">
        <v>6</v>
      </c>
      <c r="C17" s="49" t="s">
        <v>8</v>
      </c>
      <c r="D17" s="58">
        <f>ROUNDUP(D5*0.01,0)</f>
        <v>5775</v>
      </c>
      <c r="E17" s="58">
        <f>ROUNDUP(D17,-2)</f>
        <v>5800</v>
      </c>
    </row>
    <row r="18" spans="1:5" s="37" customFormat="1" x14ac:dyDescent="0.25">
      <c r="A18" s="47" t="s">
        <v>0</v>
      </c>
      <c r="B18" s="47" t="s">
        <v>6</v>
      </c>
      <c r="C18" s="47" t="s">
        <v>9</v>
      </c>
      <c r="D18" s="48">
        <f>ROUNDUP(D5*0.01,0)</f>
        <v>5775</v>
      </c>
      <c r="E18" s="58">
        <f>ROUNDUP(D18,-2)</f>
        <v>5800</v>
      </c>
    </row>
    <row r="19" spans="1:5" s="37" customFormat="1" x14ac:dyDescent="0.25">
      <c r="A19" s="36"/>
      <c r="B19" s="36"/>
      <c r="C19" s="36" t="s">
        <v>10</v>
      </c>
      <c r="D19" s="42"/>
      <c r="E19" s="42">
        <f>ROUNDUP(SUM(E15:E18),-2)</f>
        <v>25000</v>
      </c>
    </row>
    <row r="20" spans="1:5" s="37" customFormat="1" x14ac:dyDescent="0.25">
      <c r="A20" s="36"/>
      <c r="B20" s="36"/>
      <c r="C20" s="36"/>
      <c r="D20" s="36"/>
    </row>
    <row r="21" spans="1:5" s="37" customFormat="1" x14ac:dyDescent="0.25">
      <c r="A21" s="36"/>
      <c r="B21" s="36"/>
      <c r="C21" s="36"/>
      <c r="D21" s="36"/>
      <c r="E21" s="39"/>
    </row>
    <row r="22" spans="1:5" s="37" customFormat="1" x14ac:dyDescent="0.25">
      <c r="A22" s="36"/>
      <c r="B22" s="36"/>
      <c r="C22" s="36"/>
      <c r="D22" s="36"/>
      <c r="E22" s="39"/>
    </row>
    <row r="23" spans="1:5" s="37" customFormat="1" x14ac:dyDescent="0.25">
      <c r="A23" s="70" t="s">
        <v>1</v>
      </c>
      <c r="B23" s="70"/>
      <c r="C23" s="70"/>
      <c r="D23" s="70"/>
    </row>
    <row r="24" spans="1:5" s="37" customFormat="1" ht="26.25" x14ac:dyDescent="0.25">
      <c r="A24" s="50" t="s">
        <v>11</v>
      </c>
      <c r="B24" s="51" t="s">
        <v>12</v>
      </c>
      <c r="C24" s="50" t="s">
        <v>13</v>
      </c>
      <c r="D24" s="50" t="s">
        <v>1</v>
      </c>
    </row>
    <row r="25" spans="1:5" s="37" customFormat="1" x14ac:dyDescent="0.25">
      <c r="A25" s="52">
        <v>0</v>
      </c>
      <c r="B25" s="52">
        <v>50000</v>
      </c>
      <c r="C25" s="52">
        <v>0</v>
      </c>
      <c r="D25" s="52">
        <f>IF($D$5&gt;=B25,0,((($D$5-A25)/(B25-A25))*C25)+C25)</f>
        <v>0</v>
      </c>
    </row>
    <row r="26" spans="1:5" s="37" customFormat="1" x14ac:dyDescent="0.25">
      <c r="A26" s="52">
        <v>50000</v>
      </c>
      <c r="B26" s="52">
        <v>100000</v>
      </c>
      <c r="C26" s="52">
        <v>2000</v>
      </c>
      <c r="D26" s="52">
        <f t="shared" ref="D26:D35" si="0">IF($D$5&gt;=B26,0,((($D$5-A26)/(B26-A26))*C25)+C25)</f>
        <v>0</v>
      </c>
    </row>
    <row r="27" spans="1:5" s="37" customFormat="1" x14ac:dyDescent="0.25">
      <c r="A27" s="52">
        <v>100000</v>
      </c>
      <c r="B27" s="52">
        <v>200000</v>
      </c>
      <c r="C27" s="52">
        <v>4000</v>
      </c>
      <c r="D27" s="52">
        <f t="shared" si="0"/>
        <v>0</v>
      </c>
    </row>
    <row r="28" spans="1:5" s="37" customFormat="1" x14ac:dyDescent="0.25">
      <c r="A28" s="52">
        <v>200000</v>
      </c>
      <c r="B28" s="52">
        <v>500000</v>
      </c>
      <c r="C28" s="52">
        <v>10000</v>
      </c>
      <c r="D28" s="52">
        <f>IF($D$5&gt;=B28,0,((($D$5-A28)/(B28-A28))*C27)+C27)</f>
        <v>0</v>
      </c>
      <c r="E28" s="1"/>
    </row>
    <row r="29" spans="1:5" s="37" customFormat="1" x14ac:dyDescent="0.25">
      <c r="A29" s="52">
        <v>500000</v>
      </c>
      <c r="B29" s="52">
        <v>1000000</v>
      </c>
      <c r="C29" s="52">
        <v>20000</v>
      </c>
      <c r="D29" s="52">
        <f>IF($D$5&gt;=B29,0,((($D$5-A29)/(B29-A29))*C28)+C28)</f>
        <v>11548.878999999999</v>
      </c>
      <c r="E29" s="1" t="s">
        <v>43</v>
      </c>
    </row>
    <row r="30" spans="1:5" s="37" customFormat="1" x14ac:dyDescent="0.25">
      <c r="A30" s="52">
        <v>1000000</v>
      </c>
      <c r="B30" s="52">
        <v>2000000</v>
      </c>
      <c r="C30" s="52">
        <v>40000</v>
      </c>
      <c r="D30" s="52">
        <f t="shared" si="0"/>
        <v>11548.878999999999</v>
      </c>
    </row>
    <row r="31" spans="1:5" s="37" customFormat="1" x14ac:dyDescent="0.25">
      <c r="A31" s="52">
        <v>2000000</v>
      </c>
      <c r="B31" s="52">
        <v>5000000</v>
      </c>
      <c r="C31" s="52">
        <v>100000</v>
      </c>
      <c r="D31" s="52">
        <f>IF($D$5&gt;=B31,0,((($D$5-A31)/(B31-A31))*C30)+C30)</f>
        <v>21032.585999999999</v>
      </c>
      <c r="E31" s="1"/>
    </row>
    <row r="32" spans="1:5" s="37" customFormat="1" x14ac:dyDescent="0.25">
      <c r="A32" s="52">
        <v>5000000</v>
      </c>
      <c r="B32" s="52">
        <v>10000000</v>
      </c>
      <c r="C32" s="52">
        <v>200000</v>
      </c>
      <c r="D32" s="52">
        <f t="shared" si="0"/>
        <v>11548.879000000001</v>
      </c>
    </row>
    <row r="33" spans="1:4" s="37" customFormat="1" x14ac:dyDescent="0.25">
      <c r="A33" s="52">
        <v>10000000</v>
      </c>
      <c r="B33" s="52">
        <v>20000000</v>
      </c>
      <c r="C33" s="52">
        <v>400000</v>
      </c>
      <c r="D33" s="52">
        <f t="shared" si="0"/>
        <v>11548.878999999986</v>
      </c>
    </row>
    <row r="34" spans="1:4" s="37" customFormat="1" x14ac:dyDescent="0.25">
      <c r="A34" s="52">
        <v>20000000</v>
      </c>
      <c r="B34" s="52">
        <v>40000000</v>
      </c>
      <c r="C34" s="52">
        <v>800000</v>
      </c>
      <c r="D34" s="52">
        <f t="shared" si="0"/>
        <v>11548.878999999957</v>
      </c>
    </row>
    <row r="35" spans="1:4" s="37" customFormat="1" x14ac:dyDescent="0.25">
      <c r="A35" s="52">
        <v>40000000</v>
      </c>
      <c r="B35" s="52">
        <v>60000000</v>
      </c>
      <c r="C35" s="52">
        <v>1200000</v>
      </c>
      <c r="D35" s="52">
        <f t="shared" si="0"/>
        <v>-776902.24199999985</v>
      </c>
    </row>
    <row r="36" spans="1:4" s="37" customFormat="1" x14ac:dyDescent="0.25">
      <c r="A36" s="52">
        <v>60000000</v>
      </c>
      <c r="B36" s="52">
        <v>80000000</v>
      </c>
      <c r="C36" s="52">
        <v>1600000</v>
      </c>
      <c r="D36" s="52">
        <f t="shared" ref="D36:D37" si="1">IF($D$5&gt;=B36,0,((($D$5-A36)/(B36-A36))*C35)+C35)</f>
        <v>-2365353.3629999999</v>
      </c>
    </row>
    <row r="37" spans="1:4" s="37" customFormat="1" x14ac:dyDescent="0.25">
      <c r="A37" s="52">
        <v>80000000</v>
      </c>
      <c r="B37" s="47"/>
      <c r="C37" s="52">
        <v>2000000</v>
      </c>
      <c r="D37" s="52">
        <f t="shared" si="1"/>
        <v>0</v>
      </c>
    </row>
  </sheetData>
  <mergeCells count="6">
    <mergeCell ref="A23:D23"/>
    <mergeCell ref="E5:J5"/>
    <mergeCell ref="E7:M8"/>
    <mergeCell ref="F9:G9"/>
    <mergeCell ref="F10:G10"/>
    <mergeCell ref="F11:G11"/>
  </mergeCells>
  <pageMargins left="0.7" right="0.7" top="0.75" bottom="0.75" header="0.3" footer="0.3"/>
  <pageSetup orientation="landscape" r:id="rId1"/>
  <headerFooter>
    <oddHeader>&amp;F</oddHead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D6E29-B1B8-4AA3-8E59-17A1EEEB0573}">
  <dimension ref="A1:M37"/>
  <sheetViews>
    <sheetView workbookViewId="0">
      <selection activeCell="A2" sqref="A2"/>
    </sheetView>
  </sheetViews>
  <sheetFormatPr defaultColWidth="9.140625" defaultRowHeight="15" x14ac:dyDescent="0.25"/>
  <cols>
    <col min="1" max="1" width="44.85546875" style="36" bestFit="1" customWidth="1"/>
    <col min="2" max="2" width="11.140625" style="36" bestFit="1" customWidth="1"/>
    <col min="3" max="3" width="40.28515625" style="36" bestFit="1" customWidth="1"/>
    <col min="4" max="4" width="19.140625" style="37" customWidth="1"/>
    <col min="5" max="5" width="24.5703125" style="37" customWidth="1"/>
    <col min="6" max="6" width="7" style="37" bestFit="1" customWidth="1"/>
    <col min="7" max="7" width="6.42578125" style="37" bestFit="1" customWidth="1"/>
    <col min="8" max="8" width="5.140625" style="37" bestFit="1" customWidth="1"/>
    <col min="9" max="16384" width="9.140625" style="36"/>
  </cols>
  <sheetData>
    <row r="1" spans="1:13" x14ac:dyDescent="0.25">
      <c r="A1" t="s">
        <v>45</v>
      </c>
    </row>
    <row r="2" spans="1:13" x14ac:dyDescent="0.25">
      <c r="A2" s="56" t="s">
        <v>52</v>
      </c>
      <c r="E2" s="53">
        <f>D3-D9</f>
        <v>484114.12</v>
      </c>
    </row>
    <row r="3" spans="1:13" x14ac:dyDescent="0.25">
      <c r="C3" s="38" t="s">
        <v>37</v>
      </c>
      <c r="D3" s="35">
        <v>581097.12</v>
      </c>
      <c r="E3" s="55" t="s">
        <v>17</v>
      </c>
    </row>
    <row r="4" spans="1:13" x14ac:dyDescent="0.25">
      <c r="C4" s="38" t="s">
        <v>38</v>
      </c>
      <c r="D4" s="53">
        <v>119836.55</v>
      </c>
      <c r="E4" s="55"/>
    </row>
    <row r="5" spans="1:13" ht="45.75" customHeight="1" x14ac:dyDescent="0.25">
      <c r="C5" s="38" t="s">
        <v>40</v>
      </c>
      <c r="D5" s="53">
        <f>D3-D4-D9</f>
        <v>364277.57</v>
      </c>
      <c r="E5" s="71" t="s">
        <v>41</v>
      </c>
      <c r="F5" s="71"/>
      <c r="G5" s="71"/>
      <c r="H5" s="71"/>
      <c r="I5" s="71"/>
      <c r="J5" s="71"/>
    </row>
    <row r="6" spans="1:13" x14ac:dyDescent="0.25">
      <c r="C6" s="38"/>
      <c r="D6" s="39"/>
      <c r="E6" s="57"/>
    </row>
    <row r="7" spans="1:13" x14ac:dyDescent="0.25">
      <c r="C7" s="38" t="s">
        <v>39</v>
      </c>
      <c r="D7" s="35">
        <f>607433.12-122519</f>
        <v>484914.12</v>
      </c>
      <c r="E7" s="72" t="s">
        <v>48</v>
      </c>
      <c r="F7" s="73"/>
      <c r="G7" s="73"/>
      <c r="H7" s="73"/>
      <c r="I7" s="73"/>
      <c r="J7" s="73"/>
      <c r="K7" s="73"/>
      <c r="L7" s="73"/>
      <c r="M7" s="73"/>
    </row>
    <row r="8" spans="1:13" x14ac:dyDescent="0.25">
      <c r="C8" s="38"/>
      <c r="D8" s="39"/>
      <c r="E8" s="73"/>
      <c r="F8" s="73"/>
      <c r="G8" s="73"/>
      <c r="H8" s="73"/>
      <c r="I8" s="73"/>
      <c r="J8" s="73"/>
      <c r="K8" s="73"/>
      <c r="L8" s="73"/>
      <c r="M8" s="73"/>
    </row>
    <row r="9" spans="1:13" x14ac:dyDescent="0.25">
      <c r="A9" s="40" t="s">
        <v>16</v>
      </c>
      <c r="D9" s="53">
        <f>ROUNDUP($D$7*E9,0)</f>
        <v>96983</v>
      </c>
      <c r="E9" s="41">
        <v>0.2</v>
      </c>
      <c r="F9" s="74" t="s">
        <v>21</v>
      </c>
      <c r="G9" s="74"/>
    </row>
    <row r="10" spans="1:13" s="37" customFormat="1" x14ac:dyDescent="0.25">
      <c r="A10" s="40" t="s">
        <v>16</v>
      </c>
      <c r="B10" s="36"/>
      <c r="C10" s="36"/>
      <c r="D10" s="53">
        <f>ROUNDUP($D$7*E10,0)</f>
        <v>48492</v>
      </c>
      <c r="E10" s="41">
        <v>0.1</v>
      </c>
      <c r="F10" s="74" t="s">
        <v>22</v>
      </c>
      <c r="G10" s="74"/>
      <c r="L10" s="60"/>
    </row>
    <row r="11" spans="1:13" s="37" customFormat="1" x14ac:dyDescent="0.25">
      <c r="A11" s="40" t="s">
        <v>16</v>
      </c>
      <c r="B11" s="36"/>
      <c r="C11" s="36"/>
      <c r="D11" s="39">
        <f>$D$3*E11</f>
        <v>0</v>
      </c>
      <c r="E11" s="41">
        <v>0</v>
      </c>
      <c r="F11" s="74" t="s">
        <v>23</v>
      </c>
      <c r="G11" s="74"/>
    </row>
    <row r="12" spans="1:13" s="37" customFormat="1" x14ac:dyDescent="0.25">
      <c r="A12" s="40" t="s">
        <v>35</v>
      </c>
      <c r="B12" s="36"/>
      <c r="C12" s="36"/>
      <c r="D12" s="39"/>
    </row>
    <row r="13" spans="1:13" s="37" customFormat="1" ht="15.75" thickBot="1" x14ac:dyDescent="0.3">
      <c r="A13" s="40"/>
      <c r="B13" s="36"/>
      <c r="C13" s="36"/>
      <c r="D13" s="42"/>
    </row>
    <row r="14" spans="1:13" s="37" customFormat="1" x14ac:dyDescent="0.25">
      <c r="A14" s="43" t="s">
        <v>2</v>
      </c>
      <c r="B14" s="44" t="s">
        <v>3</v>
      </c>
      <c r="C14" s="44" t="s">
        <v>4</v>
      </c>
      <c r="D14" s="45" t="s">
        <v>34</v>
      </c>
      <c r="E14" s="46" t="s">
        <v>33</v>
      </c>
      <c r="L14" s="60"/>
    </row>
    <row r="15" spans="1:13" s="37" customFormat="1" x14ac:dyDescent="0.25">
      <c r="A15" s="47" t="s">
        <v>1</v>
      </c>
      <c r="B15" s="47" t="s">
        <v>6</v>
      </c>
      <c r="C15" s="47" t="s">
        <v>7</v>
      </c>
      <c r="D15" s="52">
        <f>D29</f>
        <v>7285.5514000000003</v>
      </c>
      <c r="E15" s="48">
        <f>ROUNDUP(D15,-2)</f>
        <v>7300</v>
      </c>
    </row>
    <row r="16" spans="1:13" s="37" customFormat="1" x14ac:dyDescent="0.25">
      <c r="A16" s="47" t="s">
        <v>19</v>
      </c>
      <c r="B16" s="47" t="s">
        <v>14</v>
      </c>
      <c r="C16" s="7" t="s">
        <v>44</v>
      </c>
      <c r="D16" s="48">
        <v>1630.7096799999999</v>
      </c>
      <c r="E16" s="48">
        <f>D16*5</f>
        <v>8153.5483999999997</v>
      </c>
    </row>
    <row r="17" spans="1:5" s="37" customFormat="1" ht="75" x14ac:dyDescent="0.25">
      <c r="A17" s="49" t="s">
        <v>49</v>
      </c>
      <c r="B17" s="47" t="s">
        <v>6</v>
      </c>
      <c r="C17" s="49" t="s">
        <v>8</v>
      </c>
      <c r="D17" s="48">
        <f>ROUNDUP(D5*0.01,0)</f>
        <v>3643</v>
      </c>
      <c r="E17" s="48">
        <f>ROUNDUP(D17,-2)</f>
        <v>3700</v>
      </c>
    </row>
    <row r="18" spans="1:5" s="37" customFormat="1" x14ac:dyDescent="0.25">
      <c r="A18" s="47" t="s">
        <v>0</v>
      </c>
      <c r="B18" s="47" t="s">
        <v>6</v>
      </c>
      <c r="C18" s="47" t="s">
        <v>9</v>
      </c>
      <c r="D18" s="48">
        <f>ROUNDUP(D5*0.01,0)</f>
        <v>3643</v>
      </c>
      <c r="E18" s="48">
        <f>ROUNDUP(D18,-2)</f>
        <v>3700</v>
      </c>
    </row>
    <row r="19" spans="1:5" s="37" customFormat="1" x14ac:dyDescent="0.25">
      <c r="A19" s="36"/>
      <c r="B19" s="36"/>
      <c r="C19" s="36" t="s">
        <v>10</v>
      </c>
      <c r="D19" s="42"/>
      <c r="E19" s="42">
        <f>SUM(E15:E18)</f>
        <v>22853.5484</v>
      </c>
    </row>
    <row r="20" spans="1:5" s="37" customFormat="1" x14ac:dyDescent="0.25">
      <c r="A20" s="36"/>
      <c r="B20" s="36"/>
      <c r="C20" s="36"/>
      <c r="D20" s="36"/>
    </row>
    <row r="21" spans="1:5" s="37" customFormat="1" x14ac:dyDescent="0.25">
      <c r="A21" s="36"/>
      <c r="B21" s="36"/>
      <c r="C21" s="36"/>
      <c r="D21" s="36"/>
      <c r="E21" s="39"/>
    </row>
    <row r="22" spans="1:5" s="37" customFormat="1" x14ac:dyDescent="0.25">
      <c r="A22" s="36"/>
      <c r="B22" s="36"/>
      <c r="C22" s="36"/>
      <c r="D22" s="36"/>
      <c r="E22" s="39"/>
    </row>
    <row r="23" spans="1:5" s="37" customFormat="1" x14ac:dyDescent="0.25">
      <c r="A23" s="70" t="s">
        <v>1</v>
      </c>
      <c r="B23" s="70"/>
      <c r="C23" s="70"/>
      <c r="D23" s="70"/>
    </row>
    <row r="24" spans="1:5" s="37" customFormat="1" ht="26.25" x14ac:dyDescent="0.25">
      <c r="A24" s="50" t="s">
        <v>11</v>
      </c>
      <c r="B24" s="51" t="s">
        <v>12</v>
      </c>
      <c r="C24" s="50" t="s">
        <v>13</v>
      </c>
      <c r="D24" s="50" t="s">
        <v>1</v>
      </c>
    </row>
    <row r="25" spans="1:5" s="37" customFormat="1" x14ac:dyDescent="0.25">
      <c r="A25" s="52">
        <v>0</v>
      </c>
      <c r="B25" s="52">
        <v>50000</v>
      </c>
      <c r="C25" s="52">
        <v>0</v>
      </c>
      <c r="D25" s="52">
        <f>IF($D$5&gt;=B25,0,((($D$5-A25)/(B25-A25))*C25)+C25)</f>
        <v>0</v>
      </c>
    </row>
    <row r="26" spans="1:5" s="37" customFormat="1" x14ac:dyDescent="0.25">
      <c r="A26" s="52">
        <v>50000</v>
      </c>
      <c r="B26" s="52">
        <v>100000</v>
      </c>
      <c r="C26" s="52">
        <v>2000</v>
      </c>
      <c r="D26" s="52">
        <f t="shared" ref="D26:D29" si="0">IF($D$5&gt;=B26,0,((($D$5-A26)/(B26-A26))*C25)+C25)</f>
        <v>0</v>
      </c>
    </row>
    <row r="27" spans="1:5" s="37" customFormat="1" x14ac:dyDescent="0.25">
      <c r="A27" s="52">
        <v>100000</v>
      </c>
      <c r="B27" s="52">
        <v>200000</v>
      </c>
      <c r="C27" s="52">
        <v>4000</v>
      </c>
      <c r="D27" s="52">
        <f t="shared" si="0"/>
        <v>0</v>
      </c>
    </row>
    <row r="28" spans="1:5" s="37" customFormat="1" x14ac:dyDescent="0.25">
      <c r="A28" s="52">
        <v>200000</v>
      </c>
      <c r="B28" s="52">
        <v>500000</v>
      </c>
      <c r="C28" s="52">
        <v>10000</v>
      </c>
      <c r="D28" s="52">
        <f>IF($D$5&gt;=B28,0,((($D$5-A28)/(B28-A28))*C27)+C27)</f>
        <v>6190.3675999999996</v>
      </c>
      <c r="E28" s="1"/>
    </row>
    <row r="29" spans="1:5" s="37" customFormat="1" x14ac:dyDescent="0.25">
      <c r="A29" s="52">
        <v>500000</v>
      </c>
      <c r="B29" s="52">
        <v>1000000</v>
      </c>
      <c r="C29" s="52">
        <v>20000</v>
      </c>
      <c r="D29" s="52">
        <f t="shared" si="0"/>
        <v>7285.5514000000003</v>
      </c>
      <c r="E29" s="1" t="s">
        <v>43</v>
      </c>
    </row>
    <row r="30" spans="1:5" s="37" customFormat="1" x14ac:dyDescent="0.25">
      <c r="A30" s="52">
        <v>1000000</v>
      </c>
      <c r="B30" s="52">
        <v>2000000</v>
      </c>
      <c r="C30" s="52">
        <v>40000</v>
      </c>
      <c r="D30" s="52">
        <f>IF($D$5&gt;=B30,0,((($D$5-A30)/(B30-A30))*C29)+C29)</f>
        <v>7285.5514000000003</v>
      </c>
    </row>
    <row r="31" spans="1:5" s="37" customFormat="1" x14ac:dyDescent="0.25">
      <c r="A31" s="52">
        <v>2000000</v>
      </c>
      <c r="B31" s="52">
        <v>5000000</v>
      </c>
      <c r="C31" s="52">
        <v>100000</v>
      </c>
      <c r="D31" s="52">
        <f t="shared" ref="D31:D35" si="1">IF($D$5&gt;=B31,0,((($D$5-A31)/(B31-A31))*C30)+C30)</f>
        <v>18190.367599999998</v>
      </c>
      <c r="E31" s="1"/>
    </row>
    <row r="32" spans="1:5" s="37" customFormat="1" x14ac:dyDescent="0.25">
      <c r="A32" s="52">
        <v>5000000</v>
      </c>
      <c r="B32" s="52">
        <v>10000000</v>
      </c>
      <c r="C32" s="52">
        <v>200000</v>
      </c>
      <c r="D32" s="52">
        <f t="shared" si="1"/>
        <v>7285.5513999999966</v>
      </c>
    </row>
    <row r="33" spans="1:4" s="37" customFormat="1" x14ac:dyDescent="0.25">
      <c r="A33" s="52">
        <v>10000000</v>
      </c>
      <c r="B33" s="52">
        <v>20000000</v>
      </c>
      <c r="C33" s="52">
        <v>400000</v>
      </c>
      <c r="D33" s="52">
        <f t="shared" si="1"/>
        <v>7285.5513999999966</v>
      </c>
    </row>
    <row r="34" spans="1:4" s="37" customFormat="1" x14ac:dyDescent="0.25">
      <c r="A34" s="52">
        <v>20000000</v>
      </c>
      <c r="B34" s="52">
        <v>40000000</v>
      </c>
      <c r="C34" s="52">
        <v>800000</v>
      </c>
      <c r="D34" s="52">
        <f t="shared" si="1"/>
        <v>7285.5513999999966</v>
      </c>
    </row>
    <row r="35" spans="1:4" s="37" customFormat="1" x14ac:dyDescent="0.25">
      <c r="A35" s="52">
        <v>40000000</v>
      </c>
      <c r="B35" s="52">
        <v>60000000</v>
      </c>
      <c r="C35" s="52">
        <v>1200000</v>
      </c>
      <c r="D35" s="52">
        <f t="shared" si="1"/>
        <v>-785428.89720000001</v>
      </c>
    </row>
    <row r="36" spans="1:4" s="37" customFormat="1" x14ac:dyDescent="0.25">
      <c r="A36" s="52">
        <v>60000000</v>
      </c>
      <c r="B36" s="52">
        <v>80000000</v>
      </c>
      <c r="C36" s="52">
        <v>1600000</v>
      </c>
      <c r="D36" s="52">
        <f>IF($D$5&gt;=B36,0,((($D$5-A36)/(B36-A36))*C35)+C35)</f>
        <v>-2378143.3457999998</v>
      </c>
    </row>
    <row r="37" spans="1:4" s="37" customFormat="1" x14ac:dyDescent="0.25">
      <c r="A37" s="52">
        <v>80000000</v>
      </c>
      <c r="B37" s="47"/>
      <c r="C37" s="52">
        <v>2000000</v>
      </c>
      <c r="D37" s="52">
        <f t="shared" ref="D37" si="2">IF($D$5&gt;=B37,0,((($D$5-A37)/(B37-A37))*C36)+C36)</f>
        <v>0</v>
      </c>
    </row>
  </sheetData>
  <mergeCells count="6">
    <mergeCell ref="A23:D23"/>
    <mergeCell ref="E5:J5"/>
    <mergeCell ref="E7:M8"/>
    <mergeCell ref="F9:G9"/>
    <mergeCell ref="F10:G10"/>
    <mergeCell ref="F11:G11"/>
  </mergeCells>
  <pageMargins left="0.7" right="0.7" top="0.75" bottom="0.75" header="0.3" footer="0.3"/>
  <pageSetup orientation="landscape" r:id="rId1"/>
  <headerFooter>
    <oddHeader>&amp;F</oddHead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Final</vt:lpstr>
      <vt:lpstr>Stage 3</vt:lpstr>
      <vt:lpstr>Stage 2</vt:lpstr>
      <vt:lpstr>Stage 1</vt:lpstr>
    </vt:vector>
  </TitlesOfParts>
  <Company>Hatch Mott MacDonald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pre47802</dc:creator>
  <cp:lastModifiedBy>Shelby Thomas</cp:lastModifiedBy>
  <cp:lastPrinted>2013-01-30T23:50:12Z</cp:lastPrinted>
  <dcterms:created xsi:type="dcterms:W3CDTF">2011-09-09T19:15:29Z</dcterms:created>
  <dcterms:modified xsi:type="dcterms:W3CDTF">2025-12-23T13:41:37Z</dcterms:modified>
</cp:coreProperties>
</file>